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bl\Desktop\A TRAVAILLER\ARMOS\"/>
    </mc:Choice>
  </mc:AlternateContent>
  <bookViews>
    <workbookView xWindow="0" yWindow="0" windowWidth="15360" windowHeight="7020" tabRatio="735"/>
  </bookViews>
  <sheets>
    <sheet name="Feuil3" sheetId="36" r:id="rId1"/>
    <sheet name="Données initiales" sheetId="1" r:id="rId2"/>
  </sheets>
  <definedNames>
    <definedName name="_xlnm._FilterDatabase" localSheetId="1" hidden="1">'Données initiales'!$A$1:$JE$104</definedName>
    <definedName name="_NH2011">#REF!</definedName>
    <definedName name="_NH2012">#REF!</definedName>
    <definedName name="_Rem2010">#REF!</definedName>
    <definedName name="_Rem2011">#REF!</definedName>
    <definedName name="_Rem2012">#REF!</definedName>
    <definedName name="_Rem2013">#REF!</definedName>
    <definedName name="_Rem2014">#REF!</definedName>
    <definedName name="_RO2010">#REF!</definedName>
    <definedName name="_RO2011">#REF!</definedName>
    <definedName name="_RO2012">#REF!</definedName>
    <definedName name="_RO2013">#REF!</definedName>
    <definedName name="_RO2014">#REF!</definedName>
    <definedName name="Annee_Inaug">'Données initiales'!$CX$2:$CX$103</definedName>
    <definedName name="Annee_OS">'Données initiales'!$CF$2:$CF$103</definedName>
    <definedName name="Arrangeur">'Données initiales'!$AY$24:$AY$103</definedName>
    <definedName name="Arrêté_LBU">'Données initiales'!$BB$24:$BB$103</definedName>
    <definedName name="Ass">'Données initiales'!$G$2:$G$103</definedName>
    <definedName name="AUTRES_SUB">'Données initiales'!$HE$2:$HE$103</definedName>
    <definedName name="Avancement">'Données initiales'!$H$2:$H$103</definedName>
    <definedName name="Bdgt">'Données initiales'!$GE$4:$GE$103</definedName>
    <definedName name="Bdgt2010">#REF!</definedName>
    <definedName name="Bdgt2011">#REF!</definedName>
    <definedName name="Bdgt2012">#REF!</definedName>
    <definedName name="Bdgt2013">#REF!</definedName>
    <definedName name="Bdgt2014">#REF!</definedName>
    <definedName name="CI">'Données initiales'!$GP$2:$GP$103</definedName>
    <definedName name="Fonds_propres">'Données initiales'!$HT$2:$HT$103</definedName>
    <definedName name="HonoS">'Données initiales'!#REF!</definedName>
    <definedName name="_xlnm.Print_Titles" localSheetId="1">'Données initiales'!$A:$A,'Données initiales'!$1:$1</definedName>
    <definedName name="LBU">'Données initiales'!$GZ$2:$GZ$103</definedName>
    <definedName name="Livraison">'Données initiales'!$CW$2:$CW$103</definedName>
    <definedName name="LLS">'Données initiales'!$AE$24:$AE$103</definedName>
    <definedName name="LLTS">'Données initiales'!$AF$24:$AF$103</definedName>
    <definedName name="Loyers">'Données initiales'!$CO$2:$CO$103</definedName>
    <definedName name="Nlgts">'Données initiales'!$AD$2:$AD$103</definedName>
    <definedName name="Notaire">'Données initiales'!$BU$2:$BU$103</definedName>
    <definedName name="OS">'Données initiales'!$CE$2:$CE$103</definedName>
    <definedName name="Phase">#REF!</definedName>
    <definedName name="Phase2010">#REF!</definedName>
    <definedName name="Phase2011">#REF!</definedName>
    <definedName name="Phase2012">#REF!</definedName>
    <definedName name="Phase2013">#REF!</definedName>
    <definedName name="Phase2014">#REF!</definedName>
    <definedName name="PRET">'Données initiales'!$GT$2:$GT$103</definedName>
    <definedName name="Prog">'Données initiales'!$D$2:$D$103</definedName>
    <definedName name="Prog2010">#REF!</definedName>
    <definedName name="Prog2011">#REF!</definedName>
    <definedName name="Prog2012">#REF!</definedName>
    <definedName name="Prog2013">#REF!</definedName>
    <definedName name="Prog2014">#REF!</definedName>
    <definedName name="PRP">'Données initiales'!$GF$2:$GF$103</definedName>
    <definedName name="Px_Foncier">'Données initiales'!$P$2:$P$103</definedName>
    <definedName name="Rem">#REF!</definedName>
    <definedName name="RemEtude2010">#REF!</definedName>
    <definedName name="RemEtude2011">#REF!</definedName>
    <definedName name="RemEtude2012">#REF!</definedName>
    <definedName name="RemEtude2013">#REF!</definedName>
    <definedName name="RemEtude2014">#REF!</definedName>
    <definedName name="RemEtudes">#REF!</definedName>
    <definedName name="RemRest">#REF!</definedName>
    <definedName name="RemRest2010">#REF!</definedName>
    <definedName name="RemRest2011">#REF!</definedName>
    <definedName name="RemRest2012">#REF!</definedName>
    <definedName name="RemRest2013">#REF!</definedName>
    <definedName name="RemRest2014">#REF!</definedName>
    <definedName name="RemTvx">#REF!</definedName>
    <definedName name="RemTvx2010">#REF!</definedName>
    <definedName name="RemTvx2011">#REF!</definedName>
    <definedName name="RemTvx2012">#REF!</definedName>
    <definedName name="RemTvx2013">#REF!</definedName>
    <definedName name="RemTvx2014">#REF!</definedName>
    <definedName name="Resp">#REF!</definedName>
    <definedName name="Retard_loyer">'Données initiales'!$CM$2:$CM$103</definedName>
    <definedName name="Retard_VEFA">'Données initiales'!$CC$2:$CC$103</definedName>
    <definedName name="RO">'Données initiales'!$F$2:$F$103</definedName>
    <definedName name="S_TERRAIN">'Données initiales'!$O$2:$O$103</definedName>
    <definedName name="SF">'Données initiales'!$AJ$2:$AJ$103</definedName>
    <definedName name="Type">'Données initiales'!$AC$2:$AC$103</definedName>
    <definedName name="Ville">'Données initiales'!$B$2:$B$103</definedName>
    <definedName name="_xlnm.Print_Area" localSheetId="1">'Données initiales'!$A$1:$JE$219</definedName>
  </definedNames>
  <calcPr calcId="152511"/>
  <pivotCaches>
    <pivotCache cacheId="4" r:id="rId3"/>
  </pivotCaches>
</workbook>
</file>

<file path=xl/calcChain.xml><?xml version="1.0" encoding="utf-8"?>
<calcChain xmlns="http://schemas.openxmlformats.org/spreadsheetml/2006/main">
  <c r="HJ104" i="1" l="1"/>
  <c r="HK104" i="1"/>
  <c r="HL104" i="1"/>
  <c r="HO104" i="1"/>
  <c r="HR104" i="1"/>
  <c r="HS104" i="1"/>
  <c r="GF72" i="1"/>
  <c r="GF71" i="1"/>
  <c r="GF70" i="1"/>
  <c r="GF65" i="1"/>
  <c r="GV58" i="1"/>
  <c r="FR5" i="1" l="1"/>
  <c r="FR10" i="1"/>
  <c r="FR8" i="1"/>
  <c r="FR24" i="1"/>
  <c r="FR20" i="1"/>
  <c r="FR17" i="1"/>
  <c r="FR13" i="1"/>
  <c r="FR22" i="1"/>
  <c r="FR14" i="1"/>
  <c r="FR19" i="1"/>
  <c r="FR21" i="1"/>
  <c r="FR18" i="1"/>
  <c r="FR16" i="1"/>
  <c r="FR11" i="1"/>
  <c r="FR15" i="1"/>
  <c r="FR2" i="1"/>
  <c r="FR3" i="1"/>
  <c r="FR7" i="1"/>
  <c r="FR4" i="1"/>
  <c r="GF100" i="1" l="1"/>
  <c r="GF82" i="1"/>
  <c r="GF68" i="1"/>
  <c r="AD28" i="1"/>
  <c r="AD23" i="1"/>
  <c r="AD25" i="1"/>
  <c r="AD27" i="1"/>
  <c r="AD30" i="1"/>
  <c r="AD34" i="1"/>
  <c r="AD31" i="1"/>
  <c r="AD64" i="1"/>
  <c r="AD71" i="1"/>
  <c r="AD36" i="1"/>
  <c r="AD35" i="1"/>
  <c r="AD40" i="1"/>
  <c r="AD37" i="1"/>
  <c r="AD39" i="1"/>
  <c r="AD44" i="1"/>
  <c r="AD45" i="1"/>
  <c r="AD42" i="1"/>
  <c r="AD41" i="1"/>
  <c r="AD46" i="1"/>
  <c r="AD43" i="1"/>
  <c r="AD48" i="1"/>
  <c r="AD51" i="1"/>
  <c r="AD50" i="1"/>
  <c r="AD52" i="1"/>
  <c r="AD49" i="1"/>
  <c r="AD55" i="1"/>
  <c r="AD57" i="1"/>
  <c r="AD56" i="1"/>
  <c r="AD53" i="1"/>
  <c r="AD54" i="1"/>
  <c r="AD58" i="1"/>
  <c r="AD67" i="1"/>
  <c r="AD61" i="1"/>
  <c r="AD66" i="1"/>
  <c r="AD59" i="1"/>
  <c r="AD95" i="1"/>
  <c r="AD65" i="1"/>
  <c r="AD73" i="1"/>
  <c r="AD74" i="1"/>
  <c r="AD75" i="1"/>
  <c r="AD76" i="1"/>
  <c r="AD77" i="1"/>
  <c r="AD68" i="1"/>
  <c r="AD62" i="1"/>
  <c r="AD84" i="1"/>
  <c r="AD70" i="1"/>
  <c r="AD78" i="1"/>
  <c r="AD80" i="1"/>
  <c r="AD81" i="1"/>
  <c r="AD72" i="1"/>
  <c r="AD79" i="1"/>
  <c r="AD69" i="1"/>
  <c r="AD85" i="1"/>
  <c r="AD60" i="1"/>
  <c r="AD96" i="1"/>
  <c r="AD87" i="1"/>
  <c r="AD88" i="1"/>
  <c r="AD89" i="1"/>
  <c r="AD90" i="1"/>
  <c r="AD91" i="1"/>
  <c r="AD92" i="1"/>
  <c r="AD93" i="1"/>
  <c r="AD82" i="1"/>
  <c r="AD83" i="1"/>
  <c r="AD98" i="1"/>
  <c r="AD12" i="1"/>
  <c r="AD6" i="1"/>
  <c r="AD97" i="1"/>
  <c r="AD26" i="1"/>
  <c r="AD86" i="1"/>
  <c r="AD9" i="1"/>
  <c r="AD99" i="1"/>
  <c r="AD100" i="1"/>
  <c r="AD101" i="1"/>
  <c r="AD102" i="1"/>
  <c r="AD103" i="1"/>
  <c r="AD2" i="1"/>
  <c r="AD3" i="1"/>
  <c r="AD7" i="1"/>
  <c r="AD4" i="1"/>
  <c r="AD63" i="1"/>
  <c r="AD5" i="1"/>
  <c r="AD10" i="1"/>
  <c r="AD8" i="1"/>
  <c r="AD24" i="1"/>
  <c r="AD20" i="1"/>
  <c r="AD17" i="1"/>
  <c r="AD13" i="1"/>
  <c r="AD22" i="1"/>
  <c r="AD14" i="1"/>
  <c r="AD19" i="1"/>
  <c r="AD21" i="1"/>
  <c r="AD18" i="1"/>
  <c r="AD16" i="1"/>
  <c r="AD11" i="1"/>
  <c r="AD15" i="1"/>
  <c r="AD94" i="1"/>
  <c r="AD29" i="1"/>
  <c r="AD32" i="1"/>
  <c r="AD33" i="1"/>
  <c r="U103" i="1" l="1"/>
  <c r="U74" i="1"/>
  <c r="U100" i="1"/>
  <c r="U97" i="1"/>
  <c r="U81" i="1"/>
  <c r="U80" i="1"/>
  <c r="U86" i="1"/>
  <c r="U90" i="1"/>
  <c r="U82" i="1"/>
  <c r="U85" i="1"/>
  <c r="U79" i="1"/>
  <c r="U83" i="1"/>
  <c r="U78" i="1"/>
  <c r="T60" i="1"/>
  <c r="T90" i="1"/>
  <c r="T82" i="1"/>
  <c r="T85" i="1"/>
  <c r="T79" i="1"/>
  <c r="T83" i="1"/>
  <c r="T78" i="1"/>
  <c r="T81" i="1"/>
  <c r="T80" i="1"/>
  <c r="T86" i="1"/>
  <c r="T100" i="1"/>
  <c r="T97" i="1"/>
  <c r="T103" i="1"/>
  <c r="S103" i="1"/>
  <c r="S74" i="1"/>
  <c r="S100" i="1"/>
  <c r="S97" i="1"/>
  <c r="S81" i="1"/>
  <c r="S80" i="1"/>
  <c r="S86" i="1"/>
  <c r="S90" i="1"/>
  <c r="S82" i="1"/>
  <c r="S85" i="1"/>
  <c r="S79" i="1"/>
  <c r="S60" i="1"/>
  <c r="S83" i="1"/>
  <c r="S78" i="1"/>
  <c r="CR58" i="1" l="1"/>
  <c r="HW58" i="1" l="1"/>
  <c r="CC68" i="1"/>
  <c r="CC11" i="1"/>
  <c r="CC29" i="1"/>
  <c r="CC32" i="1"/>
  <c r="CC33" i="1"/>
  <c r="CC15" i="1"/>
  <c r="CC28" i="1"/>
  <c r="CC23" i="1"/>
  <c r="CC25" i="1"/>
  <c r="CC36" i="1"/>
  <c r="CC27" i="1"/>
  <c r="CC30" i="1"/>
  <c r="CC34" i="1"/>
  <c r="CC31" i="1"/>
  <c r="CC35" i="1"/>
  <c r="CC37" i="1"/>
  <c r="CC51" i="1"/>
  <c r="CC44" i="1"/>
  <c r="CC45" i="1"/>
  <c r="CC42" i="1"/>
  <c r="CC41" i="1"/>
  <c r="CC46" i="1"/>
  <c r="CC47" i="1"/>
  <c r="CC7" i="1"/>
  <c r="CC4" i="1"/>
  <c r="CC6" i="1"/>
  <c r="CC20" i="1"/>
  <c r="CC17" i="1"/>
  <c r="CC13" i="1"/>
  <c r="CC5" i="1"/>
  <c r="CC22" i="1"/>
  <c r="CC14" i="1"/>
  <c r="CC19" i="1"/>
  <c r="CC21" i="1"/>
  <c r="CC18" i="1"/>
  <c r="CC16" i="1"/>
  <c r="CQ5" i="1"/>
  <c r="CL5" i="1" s="1"/>
  <c r="CQ100" i="1"/>
  <c r="CL100" i="1" s="1"/>
  <c r="CQ103" i="1"/>
  <c r="CQ9" i="1"/>
  <c r="CL9" i="1" s="1"/>
  <c r="CQ26" i="1"/>
  <c r="CL26" i="1" s="1"/>
  <c r="CQ89" i="1"/>
  <c r="CQ88" i="1"/>
  <c r="CQ87" i="1"/>
  <c r="CQ8" i="1"/>
  <c r="CL8" i="1" s="1"/>
  <c r="CQ12" i="1"/>
  <c r="CL12" i="1" s="1"/>
  <c r="CQ77" i="1"/>
  <c r="CQ76" i="1"/>
  <c r="CQ62" i="1"/>
  <c r="CQ75" i="1"/>
  <c r="CQ73" i="1"/>
  <c r="CQ86" i="1"/>
  <c r="CQ98" i="1"/>
  <c r="CQ96" i="1"/>
  <c r="CQ95" i="1"/>
  <c r="CQ94" i="1"/>
  <c r="CQ69" i="1"/>
  <c r="CQ68" i="1"/>
  <c r="CQ72" i="1"/>
  <c r="CQ70" i="1"/>
  <c r="CQ65" i="1"/>
  <c r="CQ71" i="1"/>
  <c r="CQ64" i="1"/>
  <c r="CQ63" i="1"/>
  <c r="CQ24" i="1"/>
  <c r="CL24" i="1" s="1"/>
  <c r="CQ101" i="1"/>
  <c r="CQ74" i="1"/>
  <c r="CQ99" i="1"/>
  <c r="CQ102" i="1"/>
  <c r="CQ97" i="1"/>
  <c r="CQ93" i="1"/>
  <c r="CQ90" i="1"/>
  <c r="CQ82" i="1"/>
  <c r="CQ92" i="1"/>
  <c r="CQ91" i="1"/>
  <c r="CQ85" i="1"/>
  <c r="CQ54" i="1"/>
  <c r="CQ81" i="1"/>
  <c r="CQ80" i="1"/>
  <c r="CQ79" i="1"/>
  <c r="CQ83" i="1"/>
  <c r="CQ60" i="1"/>
  <c r="CQ78" i="1"/>
  <c r="CQ84" i="1"/>
  <c r="CQ53" i="1"/>
  <c r="CQ59" i="1"/>
  <c r="CQ66" i="1"/>
  <c r="CQ3" i="1"/>
  <c r="CL3" i="1" s="1"/>
  <c r="CQ61" i="1"/>
  <c r="CQ67" i="1"/>
  <c r="CQ2" i="1"/>
  <c r="CL2" i="1" s="1"/>
  <c r="CQ56" i="1"/>
  <c r="CQ57" i="1"/>
  <c r="CQ55" i="1"/>
  <c r="CQ49" i="1"/>
  <c r="CQ48" i="1"/>
  <c r="CQ43" i="1"/>
  <c r="CQ52" i="1"/>
  <c r="CQ10" i="1"/>
  <c r="CL10" i="1" s="1"/>
  <c r="CQ38" i="1"/>
  <c r="CQ58" i="1"/>
  <c r="CL58" i="1" s="1"/>
  <c r="CQ47" i="1"/>
  <c r="CL47" i="1" s="1"/>
  <c r="CQ39" i="1"/>
  <c r="CL39" i="1" s="1"/>
  <c r="CQ46" i="1"/>
  <c r="CL46" i="1" s="1"/>
  <c r="CQ41" i="1"/>
  <c r="CQ42" i="1"/>
  <c r="CL42" i="1" s="1"/>
  <c r="CQ50" i="1"/>
  <c r="CL50" i="1" s="1"/>
  <c r="CQ45" i="1"/>
  <c r="CL45" i="1" s="1"/>
  <c r="CQ44" i="1"/>
  <c r="CL44" i="1" s="1"/>
  <c r="CQ51" i="1"/>
  <c r="CQ37" i="1"/>
  <c r="CL37" i="1" s="1"/>
  <c r="CQ40" i="1"/>
  <c r="CL40" i="1" s="1"/>
  <c r="CQ35" i="1"/>
  <c r="CL35" i="1" s="1"/>
  <c r="CQ31" i="1"/>
  <c r="CL31" i="1" s="1"/>
  <c r="CQ34" i="1"/>
  <c r="CL34" i="1" s="1"/>
  <c r="CQ30" i="1"/>
  <c r="CL30" i="1" s="1"/>
  <c r="CQ27" i="1"/>
  <c r="CL27" i="1" s="1"/>
  <c r="CQ36" i="1"/>
  <c r="CQ25" i="1"/>
  <c r="CL25" i="1" s="1"/>
  <c r="CQ23" i="1"/>
  <c r="CL23" i="1" s="1"/>
  <c r="CQ28" i="1"/>
  <c r="CL28" i="1" s="1"/>
  <c r="CQ15" i="1"/>
  <c r="CL15" i="1" s="1"/>
  <c r="CQ33" i="1"/>
  <c r="CL33" i="1" s="1"/>
  <c r="CQ32" i="1"/>
  <c r="CL32" i="1" s="1"/>
  <c r="CQ29" i="1"/>
  <c r="CL29" i="1" s="1"/>
  <c r="CQ11" i="1"/>
  <c r="CL11" i="1" s="1"/>
  <c r="CQ16" i="1"/>
  <c r="CL16" i="1" s="1"/>
  <c r="CQ18" i="1"/>
  <c r="CL18" i="1" s="1"/>
  <c r="CQ21" i="1"/>
  <c r="CL21" i="1" s="1"/>
  <c r="CQ19" i="1"/>
  <c r="CL19" i="1" s="1"/>
  <c r="CQ14" i="1"/>
  <c r="CL14" i="1" s="1"/>
  <c r="CQ22" i="1"/>
  <c r="CL22" i="1" s="1"/>
  <c r="CQ13" i="1"/>
  <c r="CL13" i="1" s="1"/>
  <c r="CQ17" i="1"/>
  <c r="CL17" i="1" s="1"/>
  <c r="CQ20" i="1"/>
  <c r="CL20" i="1" s="1"/>
  <c r="CQ6" i="1"/>
  <c r="CL6" i="1" s="1"/>
  <c r="CQ4" i="1"/>
  <c r="CL4" i="1" s="1"/>
  <c r="CQ7" i="1"/>
  <c r="CL7" i="1" s="1"/>
  <c r="CC100" i="1" l="1"/>
  <c r="CK37" i="1"/>
  <c r="CJ37" i="1"/>
  <c r="FO100" i="1" l="1"/>
  <c r="FO47" i="1"/>
  <c r="FO45" i="1"/>
  <c r="FO44" i="1"/>
  <c r="FO35" i="1"/>
  <c r="FO50" i="1"/>
  <c r="FO37" i="1"/>
  <c r="FO39" i="1"/>
  <c r="FO42" i="1"/>
  <c r="FO46" i="1"/>
  <c r="FR100" i="1"/>
  <c r="FR49" i="1"/>
  <c r="FR48" i="1"/>
  <c r="FR68" i="1"/>
  <c r="FR47" i="1"/>
  <c r="FR41" i="1"/>
  <c r="FR38" i="1"/>
  <c r="FR45" i="1"/>
  <c r="FR51" i="1"/>
  <c r="FR35" i="1"/>
  <c r="FR37" i="1"/>
  <c r="FR42" i="1"/>
  <c r="FR46" i="1"/>
  <c r="FR44" i="1"/>
  <c r="HW35" i="1" l="1"/>
  <c r="HW40" i="1"/>
  <c r="HW103" i="1"/>
  <c r="HW37" i="1"/>
  <c r="HW50" i="1"/>
  <c r="HW7" i="1"/>
  <c r="HW100" i="1"/>
  <c r="HW47" i="1"/>
  <c r="HW36" i="1"/>
  <c r="HW9" i="1"/>
  <c r="HW5" i="1"/>
  <c r="HW4" i="1"/>
  <c r="HW86" i="1"/>
  <c r="HW62" i="1"/>
  <c r="HW69" i="1"/>
  <c r="HW68" i="1"/>
  <c r="HW102" i="1"/>
  <c r="HW26" i="1"/>
  <c r="HW30" i="1"/>
  <c r="HW32" i="1"/>
  <c r="HW16" i="1"/>
  <c r="HW97" i="1"/>
  <c r="HW25" i="1"/>
  <c r="HW41" i="1"/>
  <c r="HW56" i="1"/>
  <c r="HW8" i="1"/>
  <c r="HW6" i="1"/>
  <c r="HW12" i="1"/>
  <c r="HW11" i="1"/>
  <c r="HW98" i="1"/>
  <c r="HW46" i="1"/>
  <c r="HW27" i="1"/>
  <c r="HW83" i="1"/>
  <c r="HW54" i="1"/>
  <c r="HW22" i="1"/>
  <c r="HW82" i="1"/>
  <c r="HW92" i="1"/>
  <c r="HW91" i="1"/>
  <c r="HW90" i="1"/>
  <c r="HW19" i="1"/>
  <c r="HW38" i="1"/>
  <c r="HW23" i="1"/>
  <c r="HW52" i="1"/>
  <c r="HW89" i="1"/>
  <c r="HW88" i="1"/>
  <c r="HW18" i="1"/>
  <c r="HW10" i="1"/>
  <c r="HW21" i="1"/>
  <c r="HW42" i="1"/>
  <c r="HW87" i="1"/>
  <c r="HW96" i="1"/>
  <c r="HW57" i="1"/>
  <c r="HW3" i="1"/>
  <c r="HW15" i="1"/>
  <c r="HW34" i="1"/>
  <c r="HW29" i="1"/>
  <c r="HW60" i="1"/>
  <c r="HW85" i="1"/>
  <c r="HW79" i="1"/>
  <c r="HW43" i="1"/>
  <c r="HW72" i="1"/>
  <c r="HW53" i="1"/>
  <c r="HW14" i="1"/>
  <c r="HW81" i="1"/>
  <c r="HW93" i="1"/>
  <c r="HW67" i="1"/>
  <c r="HW39" i="1"/>
  <c r="HW33" i="1"/>
  <c r="HW51" i="1"/>
  <c r="HW80" i="1"/>
  <c r="HW20" i="1"/>
  <c r="HW2" i="1"/>
  <c r="HW61" i="1"/>
  <c r="HW78" i="1"/>
  <c r="HW28" i="1"/>
  <c r="HW70" i="1"/>
  <c r="HW77" i="1"/>
  <c r="HW76" i="1"/>
  <c r="HW75" i="1"/>
  <c r="HW74" i="1"/>
  <c r="HW49" i="1"/>
  <c r="HW48" i="1"/>
  <c r="HW73" i="1"/>
  <c r="HW65" i="1"/>
  <c r="HW84" i="1"/>
  <c r="HW95" i="1"/>
  <c r="HW59" i="1"/>
  <c r="HW101" i="1"/>
  <c r="HW66" i="1"/>
  <c r="HW71" i="1"/>
  <c r="HW55" i="1"/>
  <c r="HW13" i="1"/>
  <c r="HW64" i="1"/>
  <c r="HW94" i="1"/>
  <c r="HW24" i="1"/>
  <c r="HW31" i="1"/>
  <c r="HW17" i="1"/>
  <c r="HW99" i="1"/>
  <c r="HW45" i="1"/>
  <c r="HW44" i="1"/>
  <c r="HW63" i="1"/>
  <c r="DV31" i="1" l="1"/>
  <c r="DV24" i="1"/>
  <c r="DV28" i="1"/>
  <c r="DV33" i="1"/>
  <c r="DV29" i="1"/>
  <c r="DV34" i="1"/>
  <c r="DV23" i="1"/>
  <c r="DV27" i="1"/>
  <c r="DV25" i="1"/>
  <c r="DV32" i="1"/>
  <c r="DV30" i="1"/>
  <c r="DV26" i="1"/>
  <c r="DV17" i="1"/>
  <c r="DV13" i="1"/>
  <c r="FI86" i="1"/>
  <c r="FI69" i="1"/>
  <c r="FI98" i="1"/>
  <c r="FI83" i="1"/>
  <c r="FI82" i="1"/>
  <c r="FI90" i="1"/>
  <c r="FI96" i="1"/>
  <c r="FI79" i="1"/>
  <c r="FI78" i="1"/>
  <c r="FI84" i="1"/>
  <c r="FI95" i="1"/>
  <c r="FI94" i="1"/>
  <c r="FF86" i="1"/>
  <c r="FF69" i="1"/>
  <c r="FF98" i="1"/>
  <c r="FF83" i="1"/>
  <c r="FF82" i="1"/>
  <c r="FF90" i="1"/>
  <c r="FF96" i="1"/>
  <c r="FF79" i="1"/>
  <c r="FF78" i="1"/>
  <c r="FF84" i="1"/>
  <c r="FF95" i="1"/>
  <c r="FF94" i="1"/>
  <c r="FC86" i="1"/>
  <c r="FC69" i="1"/>
  <c r="FC98" i="1"/>
  <c r="FC83" i="1"/>
  <c r="FC82" i="1"/>
  <c r="FC90" i="1"/>
  <c r="FC96" i="1"/>
  <c r="FC79" i="1"/>
  <c r="FC78" i="1"/>
  <c r="FC84" i="1"/>
  <c r="FC95" i="1"/>
  <c r="FC94" i="1"/>
  <c r="EZ86" i="1"/>
  <c r="EZ69" i="1"/>
  <c r="EZ98" i="1"/>
  <c r="EZ83" i="1"/>
  <c r="EZ82" i="1"/>
  <c r="EZ90" i="1"/>
  <c r="EZ96" i="1"/>
  <c r="EZ79" i="1"/>
  <c r="EZ78" i="1"/>
  <c r="EZ84" i="1"/>
  <c r="EZ95" i="1"/>
  <c r="EZ94" i="1"/>
  <c r="EW86" i="1"/>
  <c r="EW69" i="1"/>
  <c r="EW98" i="1"/>
  <c r="EW83" i="1"/>
  <c r="EW82" i="1"/>
  <c r="EW96" i="1"/>
  <c r="EW79" i="1"/>
  <c r="EW78" i="1"/>
  <c r="EW84" i="1"/>
  <c r="EW95" i="1"/>
  <c r="EW94" i="1"/>
  <c r="ET86" i="1"/>
  <c r="ET69" i="1"/>
  <c r="ET98" i="1"/>
  <c r="ET83" i="1"/>
  <c r="ET82" i="1"/>
  <c r="ET90" i="1"/>
  <c r="ET96" i="1"/>
  <c r="ET79" i="1"/>
  <c r="ET78" i="1"/>
  <c r="ET84" i="1"/>
  <c r="ET95" i="1"/>
  <c r="ET94" i="1"/>
  <c r="EQ86" i="1"/>
  <c r="EQ69" i="1"/>
  <c r="EQ98" i="1"/>
  <c r="EQ83" i="1"/>
  <c r="EQ82" i="1"/>
  <c r="EQ90" i="1"/>
  <c r="EQ96" i="1"/>
  <c r="EQ79" i="1"/>
  <c r="EQ78" i="1"/>
  <c r="EQ84" i="1"/>
  <c r="EQ95" i="1"/>
  <c r="EQ94" i="1"/>
  <c r="EN86" i="1"/>
  <c r="FP86" i="1" s="1"/>
  <c r="EN69" i="1"/>
  <c r="FP69" i="1" s="1"/>
  <c r="EN98" i="1"/>
  <c r="FP98" i="1" s="1"/>
  <c r="EN83" i="1"/>
  <c r="FP83" i="1" s="1"/>
  <c r="EN82" i="1"/>
  <c r="FP82" i="1" s="1"/>
  <c r="EN90" i="1"/>
  <c r="FP90" i="1" s="1"/>
  <c r="EN96" i="1"/>
  <c r="FP96" i="1" s="1"/>
  <c r="EN79" i="1"/>
  <c r="FP79" i="1" s="1"/>
  <c r="EN78" i="1"/>
  <c r="FP78" i="1" s="1"/>
  <c r="EN84" i="1"/>
  <c r="FP84" i="1" s="1"/>
  <c r="EN95" i="1"/>
  <c r="FP95" i="1" s="1"/>
  <c r="EN94" i="1"/>
  <c r="FP94" i="1" s="1"/>
  <c r="EK86" i="1"/>
  <c r="EK98" i="1"/>
  <c r="EK83" i="1"/>
  <c r="EK82" i="1"/>
  <c r="EK90" i="1"/>
  <c r="EK96" i="1"/>
  <c r="EK79" i="1"/>
  <c r="EK78" i="1"/>
  <c r="EK84" i="1"/>
  <c r="EK95" i="1"/>
  <c r="EK94" i="1"/>
  <c r="EG86" i="1"/>
  <c r="EG98" i="1"/>
  <c r="EG83" i="1"/>
  <c r="EG82" i="1"/>
  <c r="EG90" i="1"/>
  <c r="EG96" i="1"/>
  <c r="EG79" i="1"/>
  <c r="EG78" i="1"/>
  <c r="EG84" i="1"/>
  <c r="EG95" i="1"/>
  <c r="EG94" i="1"/>
  <c r="ED86" i="1"/>
  <c r="ED98" i="1"/>
  <c r="ED83" i="1"/>
  <c r="ED82" i="1"/>
  <c r="ED90" i="1"/>
  <c r="ED96" i="1"/>
  <c r="ED79" i="1"/>
  <c r="ED78" i="1"/>
  <c r="ED84" i="1"/>
  <c r="ED95" i="1"/>
  <c r="ED94" i="1"/>
  <c r="EA86" i="1"/>
  <c r="EA98" i="1"/>
  <c r="EA83" i="1"/>
  <c r="EA90" i="1"/>
  <c r="EA96" i="1"/>
  <c r="EA78" i="1"/>
  <c r="EA84" i="1"/>
  <c r="EA95" i="1"/>
  <c r="EA94" i="1"/>
  <c r="DX86" i="1"/>
  <c r="DX98" i="1"/>
  <c r="DX96" i="1"/>
  <c r="DX79" i="1"/>
  <c r="DX95" i="1"/>
  <c r="DX94" i="1"/>
  <c r="DV94" i="1"/>
  <c r="DV95" i="1"/>
  <c r="DV84" i="1"/>
  <c r="FI58" i="1"/>
  <c r="FI62" i="1"/>
  <c r="FI68" i="1"/>
  <c r="FI60" i="1"/>
  <c r="FI72" i="1"/>
  <c r="FI67" i="1"/>
  <c r="FI61" i="1"/>
  <c r="FI70" i="1"/>
  <c r="FI65" i="1"/>
  <c r="FI59" i="1"/>
  <c r="FI66" i="1"/>
  <c r="FI71" i="1"/>
  <c r="FI64" i="1"/>
  <c r="FI63" i="1"/>
  <c r="FF58" i="1"/>
  <c r="FF62" i="1"/>
  <c r="FF68" i="1"/>
  <c r="FF60" i="1"/>
  <c r="FF72" i="1"/>
  <c r="FF67" i="1"/>
  <c r="FF61" i="1"/>
  <c r="FF70" i="1"/>
  <c r="FF65" i="1"/>
  <c r="FF59" i="1"/>
  <c r="FF66" i="1"/>
  <c r="FF71" i="1"/>
  <c r="FF64" i="1"/>
  <c r="FF63" i="1"/>
  <c r="FC58" i="1"/>
  <c r="FC62" i="1"/>
  <c r="FC68" i="1"/>
  <c r="FC60" i="1"/>
  <c r="FC72" i="1"/>
  <c r="FC67" i="1"/>
  <c r="FC61" i="1"/>
  <c r="FC70" i="1"/>
  <c r="FC65" i="1"/>
  <c r="FC59" i="1"/>
  <c r="FC66" i="1"/>
  <c r="FC71" i="1"/>
  <c r="FC64" i="1"/>
  <c r="FC63" i="1"/>
  <c r="EZ58" i="1"/>
  <c r="EZ62" i="1"/>
  <c r="EZ68" i="1"/>
  <c r="EZ60" i="1"/>
  <c r="EZ72" i="1"/>
  <c r="EZ67" i="1"/>
  <c r="EZ61" i="1"/>
  <c r="EZ70" i="1"/>
  <c r="EZ65" i="1"/>
  <c r="EZ59" i="1"/>
  <c r="EZ66" i="1"/>
  <c r="EZ71" i="1"/>
  <c r="EZ64" i="1"/>
  <c r="EZ63" i="1"/>
  <c r="EW58" i="1"/>
  <c r="EW62" i="1"/>
  <c r="EW68" i="1"/>
  <c r="EW60" i="1"/>
  <c r="EW72" i="1"/>
  <c r="EW67" i="1"/>
  <c r="EW61" i="1"/>
  <c r="EW70" i="1"/>
  <c r="EW65" i="1"/>
  <c r="EW59" i="1"/>
  <c r="EW66" i="1"/>
  <c r="EW71" i="1"/>
  <c r="EW64" i="1"/>
  <c r="EW63" i="1"/>
  <c r="ET58" i="1"/>
  <c r="ET62" i="1"/>
  <c r="ET68" i="1"/>
  <c r="ET60" i="1"/>
  <c r="ET72" i="1"/>
  <c r="ET67" i="1"/>
  <c r="ET61" i="1"/>
  <c r="ET70" i="1"/>
  <c r="ET65" i="1"/>
  <c r="ET59" i="1"/>
  <c r="ET66" i="1"/>
  <c r="ET71" i="1"/>
  <c r="ET64" i="1"/>
  <c r="ET63" i="1"/>
  <c r="EQ58" i="1"/>
  <c r="EQ62" i="1"/>
  <c r="EQ68" i="1"/>
  <c r="EQ60" i="1"/>
  <c r="EQ72" i="1"/>
  <c r="EQ67" i="1"/>
  <c r="EQ61" i="1"/>
  <c r="EQ70" i="1"/>
  <c r="EQ65" i="1"/>
  <c r="EQ59" i="1"/>
  <c r="EQ66" i="1"/>
  <c r="EQ71" i="1"/>
  <c r="EQ64" i="1"/>
  <c r="EQ63" i="1"/>
  <c r="EN62" i="1"/>
  <c r="EN60" i="1"/>
  <c r="EN72" i="1"/>
  <c r="EN67" i="1"/>
  <c r="EN61" i="1"/>
  <c r="EN70" i="1"/>
  <c r="EN65" i="1"/>
  <c r="EN59" i="1"/>
  <c r="EN66" i="1"/>
  <c r="EN71" i="1"/>
  <c r="EN64" i="1"/>
  <c r="EN63" i="1"/>
  <c r="EK62" i="1"/>
  <c r="EK60" i="1"/>
  <c r="EK72" i="1"/>
  <c r="EK67" i="1"/>
  <c r="EK61" i="1"/>
  <c r="EK70" i="1"/>
  <c r="EK65" i="1"/>
  <c r="EK59" i="1"/>
  <c r="EK66" i="1"/>
  <c r="EK71" i="1"/>
  <c r="EK64" i="1"/>
  <c r="EK63" i="1"/>
  <c r="EG62" i="1"/>
  <c r="EG60" i="1"/>
  <c r="EG61" i="1"/>
  <c r="EG70" i="1"/>
  <c r="EG65" i="1"/>
  <c r="EG59" i="1"/>
  <c r="EG66" i="1"/>
  <c r="EG64" i="1"/>
  <c r="EG63" i="1"/>
  <c r="EH63" i="1" s="1"/>
  <c r="ED60" i="1"/>
  <c r="ED70" i="1"/>
  <c r="ED65" i="1"/>
  <c r="ED66" i="1"/>
  <c r="ED64" i="1"/>
  <c r="ED63" i="1"/>
  <c r="DV65" i="1"/>
  <c r="DV59" i="1"/>
  <c r="DV66" i="1"/>
  <c r="DV71" i="1"/>
  <c r="DV64" i="1"/>
  <c r="DV63" i="1"/>
  <c r="EK56" i="1"/>
  <c r="EK54" i="1"/>
  <c r="EK52" i="1"/>
  <c r="EK53" i="1"/>
  <c r="EK55" i="1"/>
  <c r="EN56" i="1"/>
  <c r="EN54" i="1"/>
  <c r="EN52" i="1"/>
  <c r="EN53" i="1"/>
  <c r="EN55" i="1"/>
  <c r="EQ56" i="1"/>
  <c r="EQ54" i="1"/>
  <c r="EQ52" i="1"/>
  <c r="EQ57" i="1"/>
  <c r="EQ53" i="1"/>
  <c r="EQ55" i="1"/>
  <c r="ET56" i="1"/>
  <c r="ET54" i="1"/>
  <c r="ET52" i="1"/>
  <c r="ET57" i="1"/>
  <c r="ET53" i="1"/>
  <c r="ET55" i="1"/>
  <c r="EW56" i="1"/>
  <c r="EW54" i="1"/>
  <c r="EW52" i="1"/>
  <c r="EW57" i="1"/>
  <c r="EW53" i="1"/>
  <c r="EW55" i="1"/>
  <c r="EZ53" i="1"/>
  <c r="EZ57" i="1"/>
  <c r="EZ52" i="1"/>
  <c r="EZ54" i="1"/>
  <c r="EZ56" i="1"/>
  <c r="EZ55" i="1"/>
  <c r="EZ51" i="1"/>
  <c r="DV55" i="1"/>
  <c r="FI47" i="1" l="1"/>
  <c r="FJ47" i="1" s="1"/>
  <c r="FI41" i="1"/>
  <c r="FJ41" i="1" s="1"/>
  <c r="FI46" i="1"/>
  <c r="FJ46" i="1" s="1"/>
  <c r="FI42" i="1"/>
  <c r="FJ42" i="1" s="1"/>
  <c r="FI44" i="1"/>
  <c r="FJ44" i="1" s="1"/>
  <c r="FF47" i="1"/>
  <c r="FG47" i="1" s="1"/>
  <c r="FF41" i="1"/>
  <c r="FG41" i="1" s="1"/>
  <c r="FF46" i="1"/>
  <c r="FG46" i="1" s="1"/>
  <c r="FF42" i="1"/>
  <c r="FG42" i="1" s="1"/>
  <c r="FF44" i="1"/>
  <c r="FG44" i="1" s="1"/>
  <c r="FC47" i="1"/>
  <c r="FD47" i="1" s="1"/>
  <c r="FC41" i="1"/>
  <c r="FD41" i="1" s="1"/>
  <c r="FC46" i="1"/>
  <c r="FD46" i="1" s="1"/>
  <c r="FC42" i="1"/>
  <c r="FD42" i="1" s="1"/>
  <c r="FC44" i="1"/>
  <c r="FD44" i="1" s="1"/>
  <c r="EZ47" i="1"/>
  <c r="FA47" i="1" s="1"/>
  <c r="EZ41" i="1"/>
  <c r="FA41" i="1" s="1"/>
  <c r="EZ46" i="1"/>
  <c r="FA46" i="1" s="1"/>
  <c r="EZ42" i="1"/>
  <c r="FA42" i="1" s="1"/>
  <c r="EZ43" i="1"/>
  <c r="FA43" i="1" s="1"/>
  <c r="EZ48" i="1"/>
  <c r="FA48" i="1" s="1"/>
  <c r="EZ44" i="1"/>
  <c r="FA44" i="1" s="1"/>
  <c r="EW41" i="1"/>
  <c r="EX41" i="1" s="1"/>
  <c r="EW43" i="1"/>
  <c r="EX43" i="1" s="1"/>
  <c r="EW21" i="1"/>
  <c r="EX21" i="1" s="1"/>
  <c r="EW10" i="1"/>
  <c r="EX10" i="1" s="1"/>
  <c r="EW18" i="1"/>
  <c r="EX18" i="1" s="1"/>
  <c r="EW88" i="1"/>
  <c r="EX88" i="1" s="1"/>
  <c r="EX67" i="1"/>
  <c r="EW89" i="1"/>
  <c r="EX89" i="1" s="1"/>
  <c r="EX52" i="1"/>
  <c r="EW23" i="1"/>
  <c r="EX23" i="1" s="1"/>
  <c r="EW38" i="1"/>
  <c r="EX38" i="1" s="1"/>
  <c r="EW19" i="1"/>
  <c r="EX19" i="1" s="1"/>
  <c r="EW90" i="1"/>
  <c r="EX90" i="1" s="1"/>
  <c r="EW91" i="1"/>
  <c r="EX91" i="1" s="1"/>
  <c r="EW92" i="1"/>
  <c r="EX92" i="1" s="1"/>
  <c r="EX82" i="1"/>
  <c r="EW22" i="1"/>
  <c r="EX22" i="1" s="1"/>
  <c r="EX54" i="1"/>
  <c r="EX83" i="1"/>
  <c r="EW27" i="1"/>
  <c r="EX27" i="1" s="1"/>
  <c r="EW48" i="1"/>
  <c r="EX48" i="1" s="1"/>
  <c r="EW44" i="1"/>
  <c r="EX44" i="1" s="1"/>
  <c r="EU44" i="1"/>
  <c r="EU41" i="1"/>
  <c r="ET43" i="1"/>
  <c r="EU43" i="1" s="1"/>
  <c r="ET48" i="1"/>
  <c r="EU48" i="1" s="1"/>
  <c r="EQ43" i="1"/>
  <c r="ER43" i="1" s="1"/>
  <c r="EQ48" i="1"/>
  <c r="ER48" i="1" s="1"/>
  <c r="DV44" i="1"/>
  <c r="DV45" i="1"/>
  <c r="DY44" i="1"/>
  <c r="EB44" i="1"/>
  <c r="EE44" i="1"/>
  <c r="EH44" i="1"/>
  <c r="EL44" i="1"/>
  <c r="EO44" i="1"/>
  <c r="ER44" i="1"/>
  <c r="FP44" i="1"/>
  <c r="FX44" i="1"/>
  <c r="FX40" i="1"/>
  <c r="FX37" i="1"/>
  <c r="FX7" i="1"/>
  <c r="FX100" i="1"/>
  <c r="FX47" i="1"/>
  <c r="FX36" i="1"/>
  <c r="FX9" i="1"/>
  <c r="FX5" i="1"/>
  <c r="FX4" i="1"/>
  <c r="FX68" i="1"/>
  <c r="FX26" i="1"/>
  <c r="FX30" i="1"/>
  <c r="FX32" i="1"/>
  <c r="FX16" i="1"/>
  <c r="FX25" i="1"/>
  <c r="FX41" i="1"/>
  <c r="FX8" i="1"/>
  <c r="FX6" i="1"/>
  <c r="FX12" i="1"/>
  <c r="FX11" i="1"/>
  <c r="FX46" i="1"/>
  <c r="FX27" i="1"/>
  <c r="FX22" i="1"/>
  <c r="FX19" i="1"/>
  <c r="FX38" i="1"/>
  <c r="FX23" i="1"/>
  <c r="FX18" i="1"/>
  <c r="FX10" i="1"/>
  <c r="FX21" i="1"/>
  <c r="FX42" i="1"/>
  <c r="FX3" i="1"/>
  <c r="FX15" i="1"/>
  <c r="FX34" i="1"/>
  <c r="FX29" i="1"/>
  <c r="FX14" i="1"/>
  <c r="FX33" i="1"/>
  <c r="FX51" i="1"/>
  <c r="FX20" i="1"/>
  <c r="FX2" i="1"/>
  <c r="FX28" i="1"/>
  <c r="FX48" i="1"/>
  <c r="FX13" i="1"/>
  <c r="FX24" i="1"/>
  <c r="FX31" i="1"/>
  <c r="FX17" i="1"/>
  <c r="FX45" i="1"/>
  <c r="FP40" i="1"/>
  <c r="FP103" i="1"/>
  <c r="FP37" i="1"/>
  <c r="FP7" i="1"/>
  <c r="FP100" i="1"/>
  <c r="FP47" i="1"/>
  <c r="FP36" i="1"/>
  <c r="FP9" i="1"/>
  <c r="FP5" i="1"/>
  <c r="FP4" i="1"/>
  <c r="FP62" i="1"/>
  <c r="FP68" i="1"/>
  <c r="FP58" i="1"/>
  <c r="FP102" i="1"/>
  <c r="FP26" i="1"/>
  <c r="FP30" i="1"/>
  <c r="FP32" i="1"/>
  <c r="FP16" i="1"/>
  <c r="FP97" i="1"/>
  <c r="FP25" i="1"/>
  <c r="FP41" i="1"/>
  <c r="FP8" i="1"/>
  <c r="FP6" i="1"/>
  <c r="FP12" i="1"/>
  <c r="FP11" i="1"/>
  <c r="FP46" i="1"/>
  <c r="FP27" i="1"/>
  <c r="FP22" i="1"/>
  <c r="FP92" i="1"/>
  <c r="FP91" i="1"/>
  <c r="FP19" i="1"/>
  <c r="FP38" i="1"/>
  <c r="FP23" i="1"/>
  <c r="FP89" i="1"/>
  <c r="FP67" i="1"/>
  <c r="FP88" i="1"/>
  <c r="FP18" i="1"/>
  <c r="FP10" i="1"/>
  <c r="FP21" i="1"/>
  <c r="FP42" i="1"/>
  <c r="FP87" i="1"/>
  <c r="FP3" i="1"/>
  <c r="FP15" i="1"/>
  <c r="FP34" i="1"/>
  <c r="FP29" i="1"/>
  <c r="FP60" i="1"/>
  <c r="FP85" i="1"/>
  <c r="FP43" i="1"/>
  <c r="FP72" i="1"/>
  <c r="FP14" i="1"/>
  <c r="FP81" i="1"/>
  <c r="FP93" i="1"/>
  <c r="FP39" i="1"/>
  <c r="FP33" i="1"/>
  <c r="FP80" i="1"/>
  <c r="FP20" i="1"/>
  <c r="FP2" i="1"/>
  <c r="FP61" i="1"/>
  <c r="FP28" i="1"/>
  <c r="FP70" i="1"/>
  <c r="FP77" i="1"/>
  <c r="FP76" i="1"/>
  <c r="FP75" i="1"/>
  <c r="FP74" i="1"/>
  <c r="FP49" i="1"/>
  <c r="FP48" i="1"/>
  <c r="FP73" i="1"/>
  <c r="FP65" i="1"/>
  <c r="FP59" i="1"/>
  <c r="FP101" i="1"/>
  <c r="FP66" i="1"/>
  <c r="FP71" i="1"/>
  <c r="FP13" i="1"/>
  <c r="FP64" i="1"/>
  <c r="FP24" i="1"/>
  <c r="FP31" i="1"/>
  <c r="FP17" i="1"/>
  <c r="FP99" i="1"/>
  <c r="FP45" i="1"/>
  <c r="FP63" i="1"/>
  <c r="FJ40" i="1"/>
  <c r="FJ103" i="1"/>
  <c r="FJ37" i="1"/>
  <c r="FJ50" i="1"/>
  <c r="FJ7" i="1"/>
  <c r="FJ100" i="1"/>
  <c r="FJ36" i="1"/>
  <c r="FJ9" i="1"/>
  <c r="FJ5" i="1"/>
  <c r="FJ4" i="1"/>
  <c r="FJ86" i="1"/>
  <c r="FJ62" i="1"/>
  <c r="FJ69" i="1"/>
  <c r="FJ68" i="1"/>
  <c r="FJ58" i="1"/>
  <c r="FJ102" i="1"/>
  <c r="FJ26" i="1"/>
  <c r="FJ30" i="1"/>
  <c r="FJ32" i="1"/>
  <c r="FJ16" i="1"/>
  <c r="FJ97" i="1"/>
  <c r="FJ25" i="1"/>
  <c r="FJ56" i="1"/>
  <c r="FJ8" i="1"/>
  <c r="FJ6" i="1"/>
  <c r="FJ12" i="1"/>
  <c r="FJ11" i="1"/>
  <c r="FJ98" i="1"/>
  <c r="FJ27" i="1"/>
  <c r="FJ83" i="1"/>
  <c r="FJ54" i="1"/>
  <c r="FJ22" i="1"/>
  <c r="FJ82" i="1"/>
  <c r="FJ92" i="1"/>
  <c r="FJ91" i="1"/>
  <c r="FJ90" i="1"/>
  <c r="FJ19" i="1"/>
  <c r="FJ38" i="1"/>
  <c r="FJ23" i="1"/>
  <c r="FJ52" i="1"/>
  <c r="FJ89" i="1"/>
  <c r="FJ67" i="1"/>
  <c r="FJ88" i="1"/>
  <c r="FJ18" i="1"/>
  <c r="FJ10" i="1"/>
  <c r="FJ21" i="1"/>
  <c r="FJ87" i="1"/>
  <c r="FJ96" i="1"/>
  <c r="FJ57" i="1"/>
  <c r="FJ3" i="1"/>
  <c r="FJ15" i="1"/>
  <c r="FJ34" i="1"/>
  <c r="FJ29" i="1"/>
  <c r="FJ60" i="1"/>
  <c r="FJ85" i="1"/>
  <c r="FJ79" i="1"/>
  <c r="FJ43" i="1"/>
  <c r="FJ72" i="1"/>
  <c r="FJ53" i="1"/>
  <c r="FJ14" i="1"/>
  <c r="FJ81" i="1"/>
  <c r="FJ93" i="1"/>
  <c r="FJ39" i="1"/>
  <c r="FJ33" i="1"/>
  <c r="FJ51" i="1"/>
  <c r="FJ80" i="1"/>
  <c r="FJ20" i="1"/>
  <c r="FJ2" i="1"/>
  <c r="FJ61" i="1"/>
  <c r="FJ78" i="1"/>
  <c r="FJ28" i="1"/>
  <c r="FJ70" i="1"/>
  <c r="FJ77" i="1"/>
  <c r="FJ76" i="1"/>
  <c r="FJ75" i="1"/>
  <c r="FJ74" i="1"/>
  <c r="FJ49" i="1"/>
  <c r="FJ48" i="1"/>
  <c r="FJ73" i="1"/>
  <c r="FJ65" i="1"/>
  <c r="FJ84" i="1"/>
  <c r="FJ95" i="1"/>
  <c r="FJ59" i="1"/>
  <c r="FJ101" i="1"/>
  <c r="FJ66" i="1"/>
  <c r="FJ71" i="1"/>
  <c r="FJ55" i="1"/>
  <c r="FJ13" i="1"/>
  <c r="FJ64" i="1"/>
  <c r="FJ94" i="1"/>
  <c r="FJ24" i="1"/>
  <c r="FJ31" i="1"/>
  <c r="FJ17" i="1"/>
  <c r="FJ99" i="1"/>
  <c r="FJ45" i="1"/>
  <c r="FJ63" i="1"/>
  <c r="FG40" i="1"/>
  <c r="FG103" i="1"/>
  <c r="FG37" i="1"/>
  <c r="FG50" i="1"/>
  <c r="FG7" i="1"/>
  <c r="FG100" i="1"/>
  <c r="FG36" i="1"/>
  <c r="FG9" i="1"/>
  <c r="FG5" i="1"/>
  <c r="FG4" i="1"/>
  <c r="FG86" i="1"/>
  <c r="FG62" i="1"/>
  <c r="FG69" i="1"/>
  <c r="FG68" i="1"/>
  <c r="FG58" i="1"/>
  <c r="FG102" i="1"/>
  <c r="FG26" i="1"/>
  <c r="FG30" i="1"/>
  <c r="FG32" i="1"/>
  <c r="FG16" i="1"/>
  <c r="FG97" i="1"/>
  <c r="FG25" i="1"/>
  <c r="FG56" i="1"/>
  <c r="FG8" i="1"/>
  <c r="FG6" i="1"/>
  <c r="FG12" i="1"/>
  <c r="FG11" i="1"/>
  <c r="FG98" i="1"/>
  <c r="FG27" i="1"/>
  <c r="FG83" i="1"/>
  <c r="FG54" i="1"/>
  <c r="FG22" i="1"/>
  <c r="FG82" i="1"/>
  <c r="FG92" i="1"/>
  <c r="FG91" i="1"/>
  <c r="FG90" i="1"/>
  <c r="FG19" i="1"/>
  <c r="FG38" i="1"/>
  <c r="FG23" i="1"/>
  <c r="FG52" i="1"/>
  <c r="FG89" i="1"/>
  <c r="FG67" i="1"/>
  <c r="FG88" i="1"/>
  <c r="FG18" i="1"/>
  <c r="FG10" i="1"/>
  <c r="FG21" i="1"/>
  <c r="FG87" i="1"/>
  <c r="FG96" i="1"/>
  <c r="FG57" i="1"/>
  <c r="FG3" i="1"/>
  <c r="FG15" i="1"/>
  <c r="FG34" i="1"/>
  <c r="FG29" i="1"/>
  <c r="FG60" i="1"/>
  <c r="FG85" i="1"/>
  <c r="FG79" i="1"/>
  <c r="FG43" i="1"/>
  <c r="FG72" i="1"/>
  <c r="FG53" i="1"/>
  <c r="FG14" i="1"/>
  <c r="FG81" i="1"/>
  <c r="FG93" i="1"/>
  <c r="FG39" i="1"/>
  <c r="FG33" i="1"/>
  <c r="FG51" i="1"/>
  <c r="FG80" i="1"/>
  <c r="FG20" i="1"/>
  <c r="FG2" i="1"/>
  <c r="FG61" i="1"/>
  <c r="FG78" i="1"/>
  <c r="FG28" i="1"/>
  <c r="FG70" i="1"/>
  <c r="FG77" i="1"/>
  <c r="FG76" i="1"/>
  <c r="FG75" i="1"/>
  <c r="FG74" i="1"/>
  <c r="FG49" i="1"/>
  <c r="FG48" i="1"/>
  <c r="FG73" i="1"/>
  <c r="FG65" i="1"/>
  <c r="FG84" i="1"/>
  <c r="FG95" i="1"/>
  <c r="FG59" i="1"/>
  <c r="FG101" i="1"/>
  <c r="FG66" i="1"/>
  <c r="FG71" i="1"/>
  <c r="FG55" i="1"/>
  <c r="FG13" i="1"/>
  <c r="FG64" i="1"/>
  <c r="FG94" i="1"/>
  <c r="FG24" i="1"/>
  <c r="FG31" i="1"/>
  <c r="FG17" i="1"/>
  <c r="FG99" i="1"/>
  <c r="FG45" i="1"/>
  <c r="FG63" i="1"/>
  <c r="FD40" i="1"/>
  <c r="FD103" i="1"/>
  <c r="FD37" i="1"/>
  <c r="FD50" i="1"/>
  <c r="FD7" i="1"/>
  <c r="FD100" i="1"/>
  <c r="FD36" i="1"/>
  <c r="FD9" i="1"/>
  <c r="FD5" i="1"/>
  <c r="FD4" i="1"/>
  <c r="FD86" i="1"/>
  <c r="FD62" i="1"/>
  <c r="FD69" i="1"/>
  <c r="FD68" i="1"/>
  <c r="FD58" i="1"/>
  <c r="FD102" i="1"/>
  <c r="FD26" i="1"/>
  <c r="FD30" i="1"/>
  <c r="FD32" i="1"/>
  <c r="FD16" i="1"/>
  <c r="FD97" i="1"/>
  <c r="FD25" i="1"/>
  <c r="FD56" i="1"/>
  <c r="FD8" i="1"/>
  <c r="FD6" i="1"/>
  <c r="FD12" i="1"/>
  <c r="FD11" i="1"/>
  <c r="FD98" i="1"/>
  <c r="FD27" i="1"/>
  <c r="FD83" i="1"/>
  <c r="FD54" i="1"/>
  <c r="FD22" i="1"/>
  <c r="FD82" i="1"/>
  <c r="FD92" i="1"/>
  <c r="FD91" i="1"/>
  <c r="FD90" i="1"/>
  <c r="FD19" i="1"/>
  <c r="FD38" i="1"/>
  <c r="FD23" i="1"/>
  <c r="FD52" i="1"/>
  <c r="FD89" i="1"/>
  <c r="FD67" i="1"/>
  <c r="FD88" i="1"/>
  <c r="FD18" i="1"/>
  <c r="FD10" i="1"/>
  <c r="FD21" i="1"/>
  <c r="FD87" i="1"/>
  <c r="FD96" i="1"/>
  <c r="FD57" i="1"/>
  <c r="FD3" i="1"/>
  <c r="FD15" i="1"/>
  <c r="FD34" i="1"/>
  <c r="FD29" i="1"/>
  <c r="FD60" i="1"/>
  <c r="FD85" i="1"/>
  <c r="FD79" i="1"/>
  <c r="FD43" i="1"/>
  <c r="FD72" i="1"/>
  <c r="FD53" i="1"/>
  <c r="FD14" i="1"/>
  <c r="FD81" i="1"/>
  <c r="FD93" i="1"/>
  <c r="FD39" i="1"/>
  <c r="FD33" i="1"/>
  <c r="FD51" i="1"/>
  <c r="FD80" i="1"/>
  <c r="FD20" i="1"/>
  <c r="FD2" i="1"/>
  <c r="FD61" i="1"/>
  <c r="FD78" i="1"/>
  <c r="FD28" i="1"/>
  <c r="FD70" i="1"/>
  <c r="FD77" i="1"/>
  <c r="FD76" i="1"/>
  <c r="FD75" i="1"/>
  <c r="FD74" i="1"/>
  <c r="FD49" i="1"/>
  <c r="FD48" i="1"/>
  <c r="FD73" i="1"/>
  <c r="FD65" i="1"/>
  <c r="FD84" i="1"/>
  <c r="FD95" i="1"/>
  <c r="FD59" i="1"/>
  <c r="FD101" i="1"/>
  <c r="FD66" i="1"/>
  <c r="FD71" i="1"/>
  <c r="FD55" i="1"/>
  <c r="FD13" i="1"/>
  <c r="FD64" i="1"/>
  <c r="FD94" i="1"/>
  <c r="FD24" i="1"/>
  <c r="FD31" i="1"/>
  <c r="FD17" i="1"/>
  <c r="FD99" i="1"/>
  <c r="FD45" i="1"/>
  <c r="FD63" i="1"/>
  <c r="FA40" i="1"/>
  <c r="FA103" i="1"/>
  <c r="FA37" i="1"/>
  <c r="FA50" i="1"/>
  <c r="FA7" i="1"/>
  <c r="FA100" i="1"/>
  <c r="FA36" i="1"/>
  <c r="FA9" i="1"/>
  <c r="FA5" i="1"/>
  <c r="FA4" i="1"/>
  <c r="FA86" i="1"/>
  <c r="FA62" i="1"/>
  <c r="FA69" i="1"/>
  <c r="FA68" i="1"/>
  <c r="FA58" i="1"/>
  <c r="FA102" i="1"/>
  <c r="FA26" i="1"/>
  <c r="FA30" i="1"/>
  <c r="FA32" i="1"/>
  <c r="FA16" i="1"/>
  <c r="FA97" i="1"/>
  <c r="FA25" i="1"/>
  <c r="FA56" i="1"/>
  <c r="FA8" i="1"/>
  <c r="FA6" i="1"/>
  <c r="FA12" i="1"/>
  <c r="FA11" i="1"/>
  <c r="FA98" i="1"/>
  <c r="FA27" i="1"/>
  <c r="FA83" i="1"/>
  <c r="FA54" i="1"/>
  <c r="FA22" i="1"/>
  <c r="FA82" i="1"/>
  <c r="FA92" i="1"/>
  <c r="FA91" i="1"/>
  <c r="FA90" i="1"/>
  <c r="FA19" i="1"/>
  <c r="FA38" i="1"/>
  <c r="FA23" i="1"/>
  <c r="FA52" i="1"/>
  <c r="FA89" i="1"/>
  <c r="FA67" i="1"/>
  <c r="FA88" i="1"/>
  <c r="FA18" i="1"/>
  <c r="FA10" i="1"/>
  <c r="FA21" i="1"/>
  <c r="FA87" i="1"/>
  <c r="FA96" i="1"/>
  <c r="FA57" i="1"/>
  <c r="FA3" i="1"/>
  <c r="FA15" i="1"/>
  <c r="FA34" i="1"/>
  <c r="FA29" i="1"/>
  <c r="FA60" i="1"/>
  <c r="FA85" i="1"/>
  <c r="FA79" i="1"/>
  <c r="FA72" i="1"/>
  <c r="FA53" i="1"/>
  <c r="FA14" i="1"/>
  <c r="FA81" i="1"/>
  <c r="FA93" i="1"/>
  <c r="FA39" i="1"/>
  <c r="FA33" i="1"/>
  <c r="FA51" i="1"/>
  <c r="FA80" i="1"/>
  <c r="FA20" i="1"/>
  <c r="FA2" i="1"/>
  <c r="FA61" i="1"/>
  <c r="FA78" i="1"/>
  <c r="FA28" i="1"/>
  <c r="FA70" i="1"/>
  <c r="FA77" i="1"/>
  <c r="FA76" i="1"/>
  <c r="FA75" i="1"/>
  <c r="FA74" i="1"/>
  <c r="FA49" i="1"/>
  <c r="FA73" i="1"/>
  <c r="FA65" i="1"/>
  <c r="FA84" i="1"/>
  <c r="FA95" i="1"/>
  <c r="FA59" i="1"/>
  <c r="FA101" i="1"/>
  <c r="FA66" i="1"/>
  <c r="FA71" i="1"/>
  <c r="FA55" i="1"/>
  <c r="FA13" i="1"/>
  <c r="FA64" i="1"/>
  <c r="FA94" i="1"/>
  <c r="FA24" i="1"/>
  <c r="FA31" i="1"/>
  <c r="FA17" i="1"/>
  <c r="FA99" i="1"/>
  <c r="FA45" i="1"/>
  <c r="FA63" i="1"/>
  <c r="EX40" i="1"/>
  <c r="EX103" i="1"/>
  <c r="EX37" i="1"/>
  <c r="EX50" i="1"/>
  <c r="EX7" i="1"/>
  <c r="EX100" i="1"/>
  <c r="EX47" i="1"/>
  <c r="EX36" i="1"/>
  <c r="EX9" i="1"/>
  <c r="EX5" i="1"/>
  <c r="EX4" i="1"/>
  <c r="EX86" i="1"/>
  <c r="EX62" i="1"/>
  <c r="EX69" i="1"/>
  <c r="EX68" i="1"/>
  <c r="EX58" i="1"/>
  <c r="EX102" i="1"/>
  <c r="EX26" i="1"/>
  <c r="EX30" i="1"/>
  <c r="EX32" i="1"/>
  <c r="EX16" i="1"/>
  <c r="EX97" i="1"/>
  <c r="EX25" i="1"/>
  <c r="EX56" i="1"/>
  <c r="EX8" i="1"/>
  <c r="EX6" i="1"/>
  <c r="EX12" i="1"/>
  <c r="EX11" i="1"/>
  <c r="EX98" i="1"/>
  <c r="EX46" i="1"/>
  <c r="EX42" i="1"/>
  <c r="EX87" i="1"/>
  <c r="EX96" i="1"/>
  <c r="EX57" i="1"/>
  <c r="EX3" i="1"/>
  <c r="EX15" i="1"/>
  <c r="EX34" i="1"/>
  <c r="EX29" i="1"/>
  <c r="EX60" i="1"/>
  <c r="EX85" i="1"/>
  <c r="EX79" i="1"/>
  <c r="EX72" i="1"/>
  <c r="EX53" i="1"/>
  <c r="EX14" i="1"/>
  <c r="EX81" i="1"/>
  <c r="EX93" i="1"/>
  <c r="EX39" i="1"/>
  <c r="EX33" i="1"/>
  <c r="EX51" i="1"/>
  <c r="EX80" i="1"/>
  <c r="EX20" i="1"/>
  <c r="EX2" i="1"/>
  <c r="EX61" i="1"/>
  <c r="EX78" i="1"/>
  <c r="EX28" i="1"/>
  <c r="EX70" i="1"/>
  <c r="EX77" i="1"/>
  <c r="EX76" i="1"/>
  <c r="EX75" i="1"/>
  <c r="EX74" i="1"/>
  <c r="EX49" i="1"/>
  <c r="EX73" i="1"/>
  <c r="EX65" i="1"/>
  <c r="EX84" i="1"/>
  <c r="EX95" i="1"/>
  <c r="EX59" i="1"/>
  <c r="EX101" i="1"/>
  <c r="EX66" i="1"/>
  <c r="EX71" i="1"/>
  <c r="EX55" i="1"/>
  <c r="EX13" i="1"/>
  <c r="EX64" i="1"/>
  <c r="EX94" i="1"/>
  <c r="EX24" i="1"/>
  <c r="EX31" i="1"/>
  <c r="EX17" i="1"/>
  <c r="EX99" i="1"/>
  <c r="EX45" i="1"/>
  <c r="EX63" i="1"/>
  <c r="FX35" i="1"/>
  <c r="FP35" i="1"/>
  <c r="FJ35" i="1"/>
  <c r="FG35" i="1"/>
  <c r="FD35" i="1"/>
  <c r="FA35" i="1"/>
  <c r="EX35" i="1"/>
  <c r="EU63" i="1"/>
  <c r="EU45" i="1"/>
  <c r="EU99" i="1"/>
  <c r="EU17" i="1"/>
  <c r="EU31" i="1"/>
  <c r="EU24" i="1"/>
  <c r="EU94" i="1"/>
  <c r="EU64" i="1"/>
  <c r="EU13" i="1"/>
  <c r="EU55" i="1"/>
  <c r="EU71" i="1"/>
  <c r="EU66" i="1"/>
  <c r="EU101" i="1"/>
  <c r="EU59" i="1"/>
  <c r="EU95" i="1"/>
  <c r="EU84" i="1"/>
  <c r="EU65" i="1"/>
  <c r="EU73" i="1"/>
  <c r="EU49" i="1"/>
  <c r="EU74" i="1"/>
  <c r="EU75" i="1"/>
  <c r="EU76" i="1"/>
  <c r="EU77" i="1"/>
  <c r="EU70" i="1"/>
  <c r="EU28" i="1"/>
  <c r="EU78" i="1"/>
  <c r="EU61" i="1"/>
  <c r="EU2" i="1"/>
  <c r="EU20" i="1"/>
  <c r="EU80" i="1"/>
  <c r="EU51" i="1"/>
  <c r="EU33" i="1"/>
  <c r="EU39" i="1"/>
  <c r="EU93" i="1"/>
  <c r="EU81" i="1"/>
  <c r="EU14" i="1"/>
  <c r="EU53" i="1"/>
  <c r="EU72" i="1"/>
  <c r="EU79" i="1"/>
  <c r="EU85" i="1"/>
  <c r="EU60" i="1"/>
  <c r="EU29" i="1"/>
  <c r="EU34" i="1"/>
  <c r="EU15" i="1"/>
  <c r="EU3" i="1"/>
  <c r="EU57" i="1"/>
  <c r="EU96" i="1"/>
  <c r="EU87" i="1"/>
  <c r="EU42" i="1"/>
  <c r="EU21" i="1"/>
  <c r="EU10" i="1"/>
  <c r="EU18" i="1"/>
  <c r="EU88" i="1"/>
  <c r="EU67" i="1"/>
  <c r="EU89" i="1"/>
  <c r="EU52" i="1"/>
  <c r="EU23" i="1"/>
  <c r="EU38" i="1"/>
  <c r="EU19" i="1"/>
  <c r="EU90" i="1"/>
  <c r="EU91" i="1"/>
  <c r="EU92" i="1"/>
  <c r="EU82" i="1"/>
  <c r="EU22" i="1"/>
  <c r="EU54" i="1"/>
  <c r="EU83" i="1"/>
  <c r="EU27" i="1"/>
  <c r="EU46" i="1"/>
  <c r="EU98" i="1"/>
  <c r="EU11" i="1"/>
  <c r="EU12" i="1"/>
  <c r="EU6" i="1"/>
  <c r="EU8" i="1"/>
  <c r="EU56" i="1"/>
  <c r="EU25" i="1"/>
  <c r="EU97" i="1"/>
  <c r="EU16" i="1"/>
  <c r="EU32" i="1"/>
  <c r="EU30" i="1"/>
  <c r="EU26" i="1"/>
  <c r="EU102" i="1"/>
  <c r="EU58" i="1"/>
  <c r="EU68" i="1"/>
  <c r="EU69" i="1"/>
  <c r="EU62" i="1"/>
  <c r="EU86" i="1"/>
  <c r="EU4" i="1"/>
  <c r="EU5" i="1"/>
  <c r="EU9" i="1"/>
  <c r="EU36" i="1"/>
  <c r="EU47" i="1"/>
  <c r="EU100" i="1"/>
  <c r="EU7" i="1"/>
  <c r="EU50" i="1"/>
  <c r="EU37" i="1"/>
  <c r="EU103" i="1"/>
  <c r="EU40" i="1"/>
  <c r="EU35" i="1"/>
  <c r="EO63" i="1"/>
  <c r="EO45" i="1"/>
  <c r="EO99" i="1"/>
  <c r="EO17" i="1"/>
  <c r="EO31" i="1"/>
  <c r="EO24" i="1"/>
  <c r="EO94" i="1"/>
  <c r="EO64" i="1"/>
  <c r="EO13" i="1"/>
  <c r="EO55" i="1"/>
  <c r="EO71" i="1"/>
  <c r="EO66" i="1"/>
  <c r="EO101" i="1"/>
  <c r="EO59" i="1"/>
  <c r="EO95" i="1"/>
  <c r="EO84" i="1"/>
  <c r="EO65" i="1"/>
  <c r="EO73" i="1"/>
  <c r="EO48" i="1"/>
  <c r="EO49" i="1"/>
  <c r="EO74" i="1"/>
  <c r="EO75" i="1"/>
  <c r="EO76" i="1"/>
  <c r="EO77" i="1"/>
  <c r="EO70" i="1"/>
  <c r="EO28" i="1"/>
  <c r="EO78" i="1"/>
  <c r="EO61" i="1"/>
  <c r="EO2" i="1"/>
  <c r="EO20" i="1"/>
  <c r="EO80" i="1"/>
  <c r="EO51" i="1"/>
  <c r="EO33" i="1"/>
  <c r="EO39" i="1"/>
  <c r="EO93" i="1"/>
  <c r="EO81" i="1"/>
  <c r="EO14" i="1"/>
  <c r="EO53" i="1"/>
  <c r="EO72" i="1"/>
  <c r="EO43" i="1"/>
  <c r="EO79" i="1"/>
  <c r="EO85" i="1"/>
  <c r="EO60" i="1"/>
  <c r="EO29" i="1"/>
  <c r="EO34" i="1"/>
  <c r="EO15" i="1"/>
  <c r="EO3" i="1"/>
  <c r="EO57" i="1"/>
  <c r="EO96" i="1"/>
  <c r="EO87" i="1"/>
  <c r="EO42" i="1"/>
  <c r="EO21" i="1"/>
  <c r="EO10" i="1"/>
  <c r="EO18" i="1"/>
  <c r="EO88" i="1"/>
  <c r="EO67" i="1"/>
  <c r="EO89" i="1"/>
  <c r="EO52" i="1"/>
  <c r="EO23" i="1"/>
  <c r="EO38" i="1"/>
  <c r="EO19" i="1"/>
  <c r="EO90" i="1"/>
  <c r="EO91" i="1"/>
  <c r="EO92" i="1"/>
  <c r="EO82" i="1"/>
  <c r="EO22" i="1"/>
  <c r="EO54" i="1"/>
  <c r="EO83" i="1"/>
  <c r="EO27" i="1"/>
  <c r="EO46" i="1"/>
  <c r="EO98" i="1"/>
  <c r="EO11" i="1"/>
  <c r="EO12" i="1"/>
  <c r="EO6" i="1"/>
  <c r="EO8" i="1"/>
  <c r="EO56" i="1"/>
  <c r="EO41" i="1"/>
  <c r="EO25" i="1"/>
  <c r="EO97" i="1"/>
  <c r="EO16" i="1"/>
  <c r="EO32" i="1"/>
  <c r="EO30" i="1"/>
  <c r="EO26" i="1"/>
  <c r="EO102" i="1"/>
  <c r="EO58" i="1"/>
  <c r="EO68" i="1"/>
  <c r="EO69" i="1"/>
  <c r="EO62" i="1"/>
  <c r="EO86" i="1"/>
  <c r="EO4" i="1"/>
  <c r="EO5" i="1"/>
  <c r="EO9" i="1"/>
  <c r="EO36" i="1"/>
  <c r="EO47" i="1"/>
  <c r="EO100" i="1"/>
  <c r="EO7" i="1"/>
  <c r="EO50" i="1"/>
  <c r="EO37" i="1"/>
  <c r="EO103" i="1"/>
  <c r="EO40" i="1"/>
  <c r="EL63" i="1"/>
  <c r="EL45" i="1"/>
  <c r="EL99" i="1"/>
  <c r="EL17" i="1"/>
  <c r="EL31" i="1"/>
  <c r="EL24" i="1"/>
  <c r="EL94" i="1"/>
  <c r="EL64" i="1"/>
  <c r="EL13" i="1"/>
  <c r="EL55" i="1"/>
  <c r="EL71" i="1"/>
  <c r="EL66" i="1"/>
  <c r="EL101" i="1"/>
  <c r="EL59" i="1"/>
  <c r="EL95" i="1"/>
  <c r="EL84" i="1"/>
  <c r="EL65" i="1"/>
  <c r="EL73" i="1"/>
  <c r="EL48" i="1"/>
  <c r="EL49" i="1"/>
  <c r="EL74" i="1"/>
  <c r="EL75" i="1"/>
  <c r="EL76" i="1"/>
  <c r="EL77" i="1"/>
  <c r="EL70" i="1"/>
  <c r="EL28" i="1"/>
  <c r="EL78" i="1"/>
  <c r="EL61" i="1"/>
  <c r="EL2" i="1"/>
  <c r="EL20" i="1"/>
  <c r="EL80" i="1"/>
  <c r="EL51" i="1"/>
  <c r="EL33" i="1"/>
  <c r="EL39" i="1"/>
  <c r="EL93" i="1"/>
  <c r="EL81" i="1"/>
  <c r="EL14" i="1"/>
  <c r="EL53" i="1"/>
  <c r="EL72" i="1"/>
  <c r="EL43" i="1"/>
  <c r="EL79" i="1"/>
  <c r="EL85" i="1"/>
  <c r="EL60" i="1"/>
  <c r="EL29" i="1"/>
  <c r="EL34" i="1"/>
  <c r="EL15" i="1"/>
  <c r="EL3" i="1"/>
  <c r="EL57" i="1"/>
  <c r="EL96" i="1"/>
  <c r="EL87" i="1"/>
  <c r="EL42" i="1"/>
  <c r="EL21" i="1"/>
  <c r="EL10" i="1"/>
  <c r="EL18" i="1"/>
  <c r="EL88" i="1"/>
  <c r="EL67" i="1"/>
  <c r="EL89" i="1"/>
  <c r="EL52" i="1"/>
  <c r="EL23" i="1"/>
  <c r="EL38" i="1"/>
  <c r="EL19" i="1"/>
  <c r="EL90" i="1"/>
  <c r="EL91" i="1"/>
  <c r="EL92" i="1"/>
  <c r="EL82" i="1"/>
  <c r="EL22" i="1"/>
  <c r="EL54" i="1"/>
  <c r="EL83" i="1"/>
  <c r="EL27" i="1"/>
  <c r="EL46" i="1"/>
  <c r="EL98" i="1"/>
  <c r="EL11" i="1"/>
  <c r="EL12" i="1"/>
  <c r="EL6" i="1"/>
  <c r="EL8" i="1"/>
  <c r="EL56" i="1"/>
  <c r="EL41" i="1"/>
  <c r="EL25" i="1"/>
  <c r="EL97" i="1"/>
  <c r="EL16" i="1"/>
  <c r="EL32" i="1"/>
  <c r="EL30" i="1"/>
  <c r="EL26" i="1"/>
  <c r="EL102" i="1"/>
  <c r="EL58" i="1"/>
  <c r="EL68" i="1"/>
  <c r="EL69" i="1"/>
  <c r="EL62" i="1"/>
  <c r="EL86" i="1"/>
  <c r="EL4" i="1"/>
  <c r="EL5" i="1"/>
  <c r="EL9" i="1"/>
  <c r="EL36" i="1"/>
  <c r="EL47" i="1"/>
  <c r="EL100" i="1"/>
  <c r="EL7" i="1"/>
  <c r="EL50" i="1"/>
  <c r="EL37" i="1"/>
  <c r="EL103" i="1"/>
  <c r="EL40" i="1"/>
  <c r="EH45" i="1"/>
  <c r="EH99" i="1"/>
  <c r="EH17" i="1"/>
  <c r="EH31" i="1"/>
  <c r="EH24" i="1"/>
  <c r="EH94" i="1"/>
  <c r="EH64" i="1"/>
  <c r="EH13" i="1"/>
  <c r="EH55" i="1"/>
  <c r="EH71" i="1"/>
  <c r="EH66" i="1"/>
  <c r="EH101" i="1"/>
  <c r="EH59" i="1"/>
  <c r="EH95" i="1"/>
  <c r="EH84" i="1"/>
  <c r="EH65" i="1"/>
  <c r="EH73" i="1"/>
  <c r="EH48" i="1"/>
  <c r="EH49" i="1"/>
  <c r="EH74" i="1"/>
  <c r="EH75" i="1"/>
  <c r="EH76" i="1"/>
  <c r="EH77" i="1"/>
  <c r="EH70" i="1"/>
  <c r="EH28" i="1"/>
  <c r="EH78" i="1"/>
  <c r="EH61" i="1"/>
  <c r="EH2" i="1"/>
  <c r="EH20" i="1"/>
  <c r="EH80" i="1"/>
  <c r="EH51" i="1"/>
  <c r="EH33" i="1"/>
  <c r="EH39" i="1"/>
  <c r="EH93" i="1"/>
  <c r="EH81" i="1"/>
  <c r="EH14" i="1"/>
  <c r="EH53" i="1"/>
  <c r="EH72" i="1"/>
  <c r="EH43" i="1"/>
  <c r="EH79" i="1"/>
  <c r="EH85" i="1"/>
  <c r="EH60" i="1"/>
  <c r="EH29" i="1"/>
  <c r="EH34" i="1"/>
  <c r="EH15" i="1"/>
  <c r="EH3" i="1"/>
  <c r="EH57" i="1"/>
  <c r="EH96" i="1"/>
  <c r="EH87" i="1"/>
  <c r="EH42" i="1"/>
  <c r="EH21" i="1"/>
  <c r="EH10" i="1"/>
  <c r="EH18" i="1"/>
  <c r="EH88" i="1"/>
  <c r="EH67" i="1"/>
  <c r="EH89" i="1"/>
  <c r="EH52" i="1"/>
  <c r="EH23" i="1"/>
  <c r="EH38" i="1"/>
  <c r="EH19" i="1"/>
  <c r="EH90" i="1"/>
  <c r="EH91" i="1"/>
  <c r="EH92" i="1"/>
  <c r="EH82" i="1"/>
  <c r="EH22" i="1"/>
  <c r="EH54" i="1"/>
  <c r="EH83" i="1"/>
  <c r="EH27" i="1"/>
  <c r="EH46" i="1"/>
  <c r="EH98" i="1"/>
  <c r="EH11" i="1"/>
  <c r="EH12" i="1"/>
  <c r="EH6" i="1"/>
  <c r="EH8" i="1"/>
  <c r="EH56" i="1"/>
  <c r="EH41" i="1"/>
  <c r="EH25" i="1"/>
  <c r="EH97" i="1"/>
  <c r="EH16" i="1"/>
  <c r="EH32" i="1"/>
  <c r="EH30" i="1"/>
  <c r="EH26" i="1"/>
  <c r="EH102" i="1"/>
  <c r="EH58" i="1"/>
  <c r="EH68" i="1"/>
  <c r="EH69" i="1"/>
  <c r="EH62" i="1"/>
  <c r="EH86" i="1"/>
  <c r="EH4" i="1"/>
  <c r="EH5" i="1"/>
  <c r="EH9" i="1"/>
  <c r="EH36" i="1"/>
  <c r="EH47" i="1"/>
  <c r="EH100" i="1"/>
  <c r="EH7" i="1"/>
  <c r="EH50" i="1"/>
  <c r="EH37" i="1"/>
  <c r="EH103" i="1"/>
  <c r="EH40" i="1"/>
  <c r="EE63" i="1"/>
  <c r="EE45" i="1"/>
  <c r="EE99" i="1"/>
  <c r="EE17" i="1"/>
  <c r="EE31" i="1"/>
  <c r="EE24" i="1"/>
  <c r="EE94" i="1"/>
  <c r="EE64" i="1"/>
  <c r="EE13" i="1"/>
  <c r="EE55" i="1"/>
  <c r="EE71" i="1"/>
  <c r="EE66" i="1"/>
  <c r="EE101" i="1"/>
  <c r="EE59" i="1"/>
  <c r="EE95" i="1"/>
  <c r="EE84" i="1"/>
  <c r="EE65" i="1"/>
  <c r="EE73" i="1"/>
  <c r="EE48" i="1"/>
  <c r="EE49" i="1"/>
  <c r="EE74" i="1"/>
  <c r="EE75" i="1"/>
  <c r="EE76" i="1"/>
  <c r="EE77" i="1"/>
  <c r="EE70" i="1"/>
  <c r="EE28" i="1"/>
  <c r="EE78" i="1"/>
  <c r="EE61" i="1"/>
  <c r="EE2" i="1"/>
  <c r="EE20" i="1"/>
  <c r="EE80" i="1"/>
  <c r="EE51" i="1"/>
  <c r="EE33" i="1"/>
  <c r="EE39" i="1"/>
  <c r="EE93" i="1"/>
  <c r="EE81" i="1"/>
  <c r="EE14" i="1"/>
  <c r="EE53" i="1"/>
  <c r="EE72" i="1"/>
  <c r="EE43" i="1"/>
  <c r="EE79" i="1"/>
  <c r="EE85" i="1"/>
  <c r="EE60" i="1"/>
  <c r="EE29" i="1"/>
  <c r="EE34" i="1"/>
  <c r="EE15" i="1"/>
  <c r="EE3" i="1"/>
  <c r="EE57" i="1"/>
  <c r="EE96" i="1"/>
  <c r="EE87" i="1"/>
  <c r="EE42" i="1"/>
  <c r="EE21" i="1"/>
  <c r="EE10" i="1"/>
  <c r="EE18" i="1"/>
  <c r="EE88" i="1"/>
  <c r="EE67" i="1"/>
  <c r="EE89" i="1"/>
  <c r="EE52" i="1"/>
  <c r="EE23" i="1"/>
  <c r="EE38" i="1"/>
  <c r="EE19" i="1"/>
  <c r="EE90" i="1"/>
  <c r="EE91" i="1"/>
  <c r="EE92" i="1"/>
  <c r="EE82" i="1"/>
  <c r="EE22" i="1"/>
  <c r="EE54" i="1"/>
  <c r="EE83" i="1"/>
  <c r="EE27" i="1"/>
  <c r="EE46" i="1"/>
  <c r="EE98" i="1"/>
  <c r="EE11" i="1"/>
  <c r="EE12" i="1"/>
  <c r="EE6" i="1"/>
  <c r="EE8" i="1"/>
  <c r="EE56" i="1"/>
  <c r="EE41" i="1"/>
  <c r="EE25" i="1"/>
  <c r="EE97" i="1"/>
  <c r="EE16" i="1"/>
  <c r="EE32" i="1"/>
  <c r="EE30" i="1"/>
  <c r="EE26" i="1"/>
  <c r="EE102" i="1"/>
  <c r="EE58" i="1"/>
  <c r="EE68" i="1"/>
  <c r="EE69" i="1"/>
  <c r="EE62" i="1"/>
  <c r="EE86" i="1"/>
  <c r="EE4" i="1"/>
  <c r="EE5" i="1"/>
  <c r="EE9" i="1"/>
  <c r="EE36" i="1"/>
  <c r="EE47" i="1"/>
  <c r="EE100" i="1"/>
  <c r="EE7" i="1"/>
  <c r="EE50" i="1"/>
  <c r="EE37" i="1"/>
  <c r="EE103" i="1"/>
  <c r="EE40" i="1"/>
  <c r="EB63" i="1"/>
  <c r="EB45" i="1"/>
  <c r="EB99" i="1"/>
  <c r="EB17" i="1"/>
  <c r="EB31" i="1"/>
  <c r="EB24" i="1"/>
  <c r="EB94" i="1"/>
  <c r="EB64" i="1"/>
  <c r="EB13" i="1"/>
  <c r="EB55" i="1"/>
  <c r="EB71" i="1"/>
  <c r="EB66" i="1"/>
  <c r="EB101" i="1"/>
  <c r="EB59" i="1"/>
  <c r="EB95" i="1"/>
  <c r="EB84" i="1"/>
  <c r="EB65" i="1"/>
  <c r="EB73" i="1"/>
  <c r="EB48" i="1"/>
  <c r="EB49" i="1"/>
  <c r="EB74" i="1"/>
  <c r="EB75" i="1"/>
  <c r="EB76" i="1"/>
  <c r="EB77" i="1"/>
  <c r="EB70" i="1"/>
  <c r="EB28" i="1"/>
  <c r="EB78" i="1"/>
  <c r="EB61" i="1"/>
  <c r="EB2" i="1"/>
  <c r="EB20" i="1"/>
  <c r="EB80" i="1"/>
  <c r="EB51" i="1"/>
  <c r="EB33" i="1"/>
  <c r="EB39" i="1"/>
  <c r="EB93" i="1"/>
  <c r="EB81" i="1"/>
  <c r="EB14" i="1"/>
  <c r="EB53" i="1"/>
  <c r="EB72" i="1"/>
  <c r="EB43" i="1"/>
  <c r="EB79" i="1"/>
  <c r="EB85" i="1"/>
  <c r="EB60" i="1"/>
  <c r="EB29" i="1"/>
  <c r="EB34" i="1"/>
  <c r="EB15" i="1"/>
  <c r="EB3" i="1"/>
  <c r="EB57" i="1"/>
  <c r="EB96" i="1"/>
  <c r="EB87" i="1"/>
  <c r="EB42" i="1"/>
  <c r="EB21" i="1"/>
  <c r="EB10" i="1"/>
  <c r="EB18" i="1"/>
  <c r="EB88" i="1"/>
  <c r="EB67" i="1"/>
  <c r="EB89" i="1"/>
  <c r="EB52" i="1"/>
  <c r="EB23" i="1"/>
  <c r="EB38" i="1"/>
  <c r="EB19" i="1"/>
  <c r="EB90" i="1"/>
  <c r="EB91" i="1"/>
  <c r="EB92" i="1"/>
  <c r="EB82" i="1"/>
  <c r="EB22" i="1"/>
  <c r="EB54" i="1"/>
  <c r="EB83" i="1"/>
  <c r="EB27" i="1"/>
  <c r="EB46" i="1"/>
  <c r="EB98" i="1"/>
  <c r="EB11" i="1"/>
  <c r="EB12" i="1"/>
  <c r="EB6" i="1"/>
  <c r="EB8" i="1"/>
  <c r="EB56" i="1"/>
  <c r="EB41" i="1"/>
  <c r="EB25" i="1"/>
  <c r="EB97" i="1"/>
  <c r="EB16" i="1"/>
  <c r="EB32" i="1"/>
  <c r="EB30" i="1"/>
  <c r="EB26" i="1"/>
  <c r="EB102" i="1"/>
  <c r="EB58" i="1"/>
  <c r="EB68" i="1"/>
  <c r="EB69" i="1"/>
  <c r="EB62" i="1"/>
  <c r="EB86" i="1"/>
  <c r="EB4" i="1"/>
  <c r="EB5" i="1"/>
  <c r="EB9" i="1"/>
  <c r="EB36" i="1"/>
  <c r="EB47" i="1"/>
  <c r="EB100" i="1"/>
  <c r="EB7" i="1"/>
  <c r="EB50" i="1"/>
  <c r="EB37" i="1"/>
  <c r="EB103" i="1"/>
  <c r="EB40" i="1"/>
  <c r="DY63" i="1"/>
  <c r="DY45" i="1"/>
  <c r="DY99" i="1"/>
  <c r="DY17" i="1"/>
  <c r="DY31" i="1"/>
  <c r="DY24" i="1"/>
  <c r="DY94" i="1"/>
  <c r="DY64" i="1"/>
  <c r="DY13" i="1"/>
  <c r="DY55" i="1"/>
  <c r="DY71" i="1"/>
  <c r="DY66" i="1"/>
  <c r="DY101" i="1"/>
  <c r="DY59" i="1"/>
  <c r="DY95" i="1"/>
  <c r="DY84" i="1"/>
  <c r="DY65" i="1"/>
  <c r="DY73" i="1"/>
  <c r="DY48" i="1"/>
  <c r="DY49" i="1"/>
  <c r="DY74" i="1"/>
  <c r="DY75" i="1"/>
  <c r="DY76" i="1"/>
  <c r="DY77" i="1"/>
  <c r="DY70" i="1"/>
  <c r="DY28" i="1"/>
  <c r="DY78" i="1"/>
  <c r="DY61" i="1"/>
  <c r="DY2" i="1"/>
  <c r="DY20" i="1"/>
  <c r="DY80" i="1"/>
  <c r="DY51" i="1"/>
  <c r="DY33" i="1"/>
  <c r="DY39" i="1"/>
  <c r="DY93" i="1"/>
  <c r="DY81" i="1"/>
  <c r="DY14" i="1"/>
  <c r="DY53" i="1"/>
  <c r="DY72" i="1"/>
  <c r="DY43" i="1"/>
  <c r="DY79" i="1"/>
  <c r="DY85" i="1"/>
  <c r="DY60" i="1"/>
  <c r="DY29" i="1"/>
  <c r="DY34" i="1"/>
  <c r="DY15" i="1"/>
  <c r="DY3" i="1"/>
  <c r="DY57" i="1"/>
  <c r="DY96" i="1"/>
  <c r="DY87" i="1"/>
  <c r="DY42" i="1"/>
  <c r="DY21" i="1"/>
  <c r="DY10" i="1"/>
  <c r="DY18" i="1"/>
  <c r="DY88" i="1"/>
  <c r="DY67" i="1"/>
  <c r="DY89" i="1"/>
  <c r="DY52" i="1"/>
  <c r="DY23" i="1"/>
  <c r="DY38" i="1"/>
  <c r="DY19" i="1"/>
  <c r="DY90" i="1"/>
  <c r="DY91" i="1"/>
  <c r="DY92" i="1"/>
  <c r="DY82" i="1"/>
  <c r="DY22" i="1"/>
  <c r="DY54" i="1"/>
  <c r="DY83" i="1"/>
  <c r="DY27" i="1"/>
  <c r="DY46" i="1"/>
  <c r="DY98" i="1"/>
  <c r="DY11" i="1"/>
  <c r="DY12" i="1"/>
  <c r="DY6" i="1"/>
  <c r="DY8" i="1"/>
  <c r="DY56" i="1"/>
  <c r="DY41" i="1"/>
  <c r="DY25" i="1"/>
  <c r="DY97" i="1"/>
  <c r="DY16" i="1"/>
  <c r="DY32" i="1"/>
  <c r="DY30" i="1"/>
  <c r="DY26" i="1"/>
  <c r="DY102" i="1"/>
  <c r="DY58" i="1"/>
  <c r="DY68" i="1"/>
  <c r="DY69" i="1"/>
  <c r="DY62" i="1"/>
  <c r="DY86" i="1"/>
  <c r="DY4" i="1"/>
  <c r="DY5" i="1"/>
  <c r="DY9" i="1"/>
  <c r="DY36" i="1"/>
  <c r="DY47" i="1"/>
  <c r="DY100" i="1"/>
  <c r="DY7" i="1"/>
  <c r="DY50" i="1"/>
  <c r="DY37" i="1"/>
  <c r="DY103" i="1"/>
  <c r="DY40" i="1"/>
  <c r="DV48" i="1"/>
  <c r="DV49" i="1"/>
  <c r="DV74" i="1"/>
  <c r="DV75" i="1"/>
  <c r="DV76" i="1"/>
  <c r="DV77" i="1"/>
  <c r="DV70" i="1"/>
  <c r="DV78" i="1"/>
  <c r="DV61" i="1"/>
  <c r="DV2" i="1"/>
  <c r="DV20" i="1"/>
  <c r="DV80" i="1"/>
  <c r="DV51" i="1"/>
  <c r="DV39" i="1"/>
  <c r="DV93" i="1"/>
  <c r="DV81" i="1"/>
  <c r="DV14" i="1"/>
  <c r="DV53" i="1"/>
  <c r="DV72" i="1"/>
  <c r="DV43" i="1"/>
  <c r="DV79" i="1"/>
  <c r="DV85" i="1"/>
  <c r="DV60" i="1"/>
  <c r="DV15" i="1"/>
  <c r="DV3" i="1"/>
  <c r="DV57" i="1"/>
  <c r="DV96" i="1"/>
  <c r="DV87" i="1"/>
  <c r="DV42" i="1"/>
  <c r="DV21" i="1"/>
  <c r="DV10" i="1"/>
  <c r="DV18" i="1"/>
  <c r="DV88" i="1"/>
  <c r="DV67" i="1"/>
  <c r="DV89" i="1"/>
  <c r="DV52" i="1"/>
  <c r="DV38" i="1"/>
  <c r="DV19" i="1"/>
  <c r="DV90" i="1"/>
  <c r="DV91" i="1"/>
  <c r="DV92" i="1"/>
  <c r="DV82" i="1"/>
  <c r="DV22" i="1"/>
  <c r="DV54" i="1"/>
  <c r="DV83" i="1"/>
  <c r="DV46" i="1"/>
  <c r="DV98" i="1"/>
  <c r="DV11" i="1"/>
  <c r="DV12" i="1"/>
  <c r="DV6" i="1"/>
  <c r="DV8" i="1"/>
  <c r="DV56" i="1"/>
  <c r="DV41" i="1"/>
  <c r="DV97" i="1"/>
  <c r="DV16" i="1"/>
  <c r="DV102" i="1"/>
  <c r="DV58" i="1"/>
  <c r="DV68" i="1"/>
  <c r="DV69" i="1"/>
  <c r="DV62" i="1"/>
  <c r="DV86" i="1"/>
  <c r="DV4" i="1"/>
  <c r="DV5" i="1"/>
  <c r="DV9" i="1"/>
  <c r="DV36" i="1"/>
  <c r="DV47" i="1"/>
  <c r="DV100" i="1"/>
  <c r="DV7" i="1"/>
  <c r="DV50" i="1"/>
  <c r="DV37" i="1"/>
  <c r="DV103" i="1"/>
  <c r="DV40" i="1"/>
  <c r="ER45" i="1"/>
  <c r="ER99" i="1"/>
  <c r="ER17" i="1"/>
  <c r="ER31" i="1"/>
  <c r="ER24" i="1"/>
  <c r="ER94" i="1"/>
  <c r="ER64" i="1"/>
  <c r="ER13" i="1"/>
  <c r="ER55" i="1"/>
  <c r="ER71" i="1"/>
  <c r="ER66" i="1"/>
  <c r="ER101" i="1"/>
  <c r="ER59" i="1"/>
  <c r="ER95" i="1"/>
  <c r="ER84" i="1"/>
  <c r="ER65" i="1"/>
  <c r="ER73" i="1"/>
  <c r="ER49" i="1"/>
  <c r="ER74" i="1"/>
  <c r="ER75" i="1"/>
  <c r="ER76" i="1"/>
  <c r="ER77" i="1"/>
  <c r="ER70" i="1"/>
  <c r="ER28" i="1"/>
  <c r="ER78" i="1"/>
  <c r="ER61" i="1"/>
  <c r="ER2" i="1"/>
  <c r="ER20" i="1"/>
  <c r="ER80" i="1"/>
  <c r="ER51" i="1"/>
  <c r="ER33" i="1"/>
  <c r="ER39" i="1"/>
  <c r="ER93" i="1"/>
  <c r="ER81" i="1"/>
  <c r="ER14" i="1"/>
  <c r="ER53" i="1"/>
  <c r="ER72" i="1"/>
  <c r="ER79" i="1"/>
  <c r="ER85" i="1"/>
  <c r="ER60" i="1"/>
  <c r="ER29" i="1"/>
  <c r="ER34" i="1"/>
  <c r="ER15" i="1"/>
  <c r="ER3" i="1"/>
  <c r="ER57" i="1"/>
  <c r="ER96" i="1"/>
  <c r="ER87" i="1"/>
  <c r="ER42" i="1"/>
  <c r="ER21" i="1"/>
  <c r="ER10" i="1"/>
  <c r="ER18" i="1"/>
  <c r="ER88" i="1"/>
  <c r="ER67" i="1"/>
  <c r="ER89" i="1"/>
  <c r="ER52" i="1"/>
  <c r="ER23" i="1"/>
  <c r="ER38" i="1"/>
  <c r="ER19" i="1"/>
  <c r="ER90" i="1"/>
  <c r="ER91" i="1"/>
  <c r="ER92" i="1"/>
  <c r="ER82" i="1"/>
  <c r="ER22" i="1"/>
  <c r="ER54" i="1"/>
  <c r="ER83" i="1"/>
  <c r="ER27" i="1"/>
  <c r="ER46" i="1"/>
  <c r="ER98" i="1"/>
  <c r="ER11" i="1"/>
  <c r="ER12" i="1"/>
  <c r="ER6" i="1"/>
  <c r="ER8" i="1"/>
  <c r="ER56" i="1"/>
  <c r="ER41" i="1"/>
  <c r="ER25" i="1"/>
  <c r="ER97" i="1"/>
  <c r="ER16" i="1"/>
  <c r="ER32" i="1"/>
  <c r="ER30" i="1"/>
  <c r="ER26" i="1"/>
  <c r="ER102" i="1"/>
  <c r="ER58" i="1"/>
  <c r="ER68" i="1"/>
  <c r="ER69" i="1"/>
  <c r="ER62" i="1"/>
  <c r="ER86" i="1"/>
  <c r="ER4" i="1"/>
  <c r="ER5" i="1"/>
  <c r="ER9" i="1"/>
  <c r="ER36" i="1"/>
  <c r="ER47" i="1"/>
  <c r="ER100" i="1"/>
  <c r="ER7" i="1"/>
  <c r="ER50" i="1"/>
  <c r="ER37" i="1"/>
  <c r="ER103" i="1"/>
  <c r="ER40" i="1"/>
  <c r="ER35" i="1"/>
  <c r="ER63" i="1"/>
  <c r="FW65" i="1" l="1"/>
  <c r="FW101" i="1"/>
  <c r="FW13" i="1"/>
  <c r="FW31" i="1"/>
  <c r="FW63" i="1"/>
  <c r="FW103" i="1"/>
  <c r="FW100" i="1"/>
  <c r="FW5" i="1"/>
  <c r="FW69" i="1"/>
  <c r="FW26" i="1"/>
  <c r="FW97" i="1"/>
  <c r="FW8" i="1"/>
  <c r="FW98" i="1"/>
  <c r="FW54" i="1"/>
  <c r="FW91" i="1"/>
  <c r="FW23" i="1"/>
  <c r="FW88" i="1"/>
  <c r="FW3" i="1"/>
  <c r="FW60" i="1"/>
  <c r="FW72" i="1"/>
  <c r="FW93" i="1"/>
  <c r="FW80" i="1"/>
  <c r="FW78" i="1"/>
  <c r="FW76" i="1"/>
  <c r="FW37" i="1"/>
  <c r="FW4" i="1"/>
  <c r="FW68" i="1"/>
  <c r="FW30" i="1"/>
  <c r="FW25" i="1"/>
  <c r="FW6" i="1"/>
  <c r="FW22" i="1"/>
  <c r="FW90" i="1"/>
  <c r="FW52" i="1"/>
  <c r="FW18" i="1"/>
  <c r="FW87" i="1"/>
  <c r="FW15" i="1"/>
  <c r="FW85" i="1"/>
  <c r="FW53" i="1"/>
  <c r="FW39" i="1"/>
  <c r="FW20" i="1"/>
  <c r="FW28" i="1"/>
  <c r="FW75" i="1"/>
  <c r="FW40" i="1"/>
  <c r="FW7" i="1"/>
  <c r="FW50" i="1"/>
  <c r="FW47" i="1"/>
  <c r="FW46" i="1"/>
  <c r="FW42" i="1"/>
  <c r="FW48" i="1"/>
  <c r="FW44" i="1"/>
  <c r="FW17" i="1"/>
  <c r="FW66" i="1"/>
  <c r="FW58" i="1"/>
  <c r="FW82" i="1"/>
  <c r="FW89" i="1"/>
  <c r="FW96" i="1"/>
  <c r="FW79" i="1"/>
  <c r="FW33" i="1"/>
  <c r="FW74" i="1"/>
  <c r="FW71" i="1"/>
  <c r="FW84" i="1"/>
  <c r="FW64" i="1"/>
  <c r="FW36" i="1"/>
  <c r="FW86" i="1"/>
  <c r="FW32" i="1"/>
  <c r="FW41" i="1"/>
  <c r="FW12" i="1"/>
  <c r="FW27" i="1"/>
  <c r="FW19" i="1"/>
  <c r="FW10" i="1"/>
  <c r="FW34" i="1"/>
  <c r="FW14" i="1"/>
  <c r="FW2" i="1"/>
  <c r="FW70" i="1"/>
  <c r="FW95" i="1"/>
  <c r="FW94" i="1"/>
  <c r="FW99" i="1"/>
  <c r="FW9" i="1"/>
  <c r="FW62" i="1"/>
  <c r="FW102" i="1"/>
  <c r="FW16" i="1"/>
  <c r="FW56" i="1"/>
  <c r="FW11" i="1"/>
  <c r="FW83" i="1"/>
  <c r="FW92" i="1"/>
  <c r="FW38" i="1"/>
  <c r="FW67" i="1"/>
  <c r="FW21" i="1"/>
  <c r="FW57" i="1"/>
  <c r="FW29" i="1"/>
  <c r="FW43" i="1"/>
  <c r="FW81" i="1"/>
  <c r="FW51" i="1"/>
  <c r="FW61" i="1"/>
  <c r="FW77" i="1"/>
  <c r="FW49" i="1"/>
  <c r="FW73" i="1"/>
  <c r="FW59" i="1"/>
  <c r="FW55" i="1"/>
  <c r="FW24" i="1"/>
  <c r="FW45" i="1"/>
  <c r="EO35" i="1"/>
  <c r="EL35" i="1"/>
  <c r="EH35" i="1"/>
  <c r="EE35" i="1"/>
  <c r="EB35" i="1"/>
  <c r="DY35" i="1"/>
  <c r="DV35" i="1"/>
  <c r="FW35" i="1" l="1"/>
  <c r="G152" i="1"/>
  <c r="W100" i="1" l="1"/>
  <c r="V100" i="1"/>
  <c r="IZ83" i="1"/>
  <c r="AN23" i="1" l="1"/>
  <c r="GS98" i="1" l="1"/>
  <c r="GE98" i="1" s="1"/>
  <c r="GS96" i="1"/>
  <c r="GS95" i="1"/>
  <c r="GS94" i="1"/>
  <c r="GE94" i="1" s="1"/>
  <c r="AD112" i="1" l="1"/>
  <c r="CV50" i="1" l="1"/>
  <c r="CJ58" i="1" l="1"/>
  <c r="FO58" i="1"/>
  <c r="CG103" i="1"/>
  <c r="CG99" i="1"/>
  <c r="CG74" i="1"/>
  <c r="CG102" i="1"/>
  <c r="CG101" i="1"/>
  <c r="CG97" i="1"/>
  <c r="CG93" i="1"/>
  <c r="CG82" i="1"/>
  <c r="CG90" i="1"/>
  <c r="CG89" i="1"/>
  <c r="CG87" i="1"/>
  <c r="CG77" i="1"/>
  <c r="CG76" i="1"/>
  <c r="CG75" i="1"/>
  <c r="CG73" i="1"/>
  <c r="CG92" i="1"/>
  <c r="CG91" i="1"/>
  <c r="CG81" i="1"/>
  <c r="CG80" i="1"/>
  <c r="CG86" i="1"/>
  <c r="CG83" i="1"/>
  <c r="CG78" i="1"/>
  <c r="CG84" i="1"/>
  <c r="CG96" i="1"/>
  <c r="CG95" i="1"/>
  <c r="CG94" i="1"/>
  <c r="CG85" i="1"/>
  <c r="CG79" i="1"/>
  <c r="CG98" i="1"/>
  <c r="CG59" i="1"/>
  <c r="CG66" i="1"/>
  <c r="CG60" i="1"/>
  <c r="CG61" i="1"/>
  <c r="CG54" i="1"/>
  <c r="CG56" i="1"/>
  <c r="CG53" i="1"/>
  <c r="CG69" i="1"/>
  <c r="CG62" i="1"/>
  <c r="CG67" i="1"/>
  <c r="CG57" i="1"/>
  <c r="CG52" i="1"/>
  <c r="CG55" i="1"/>
  <c r="CG71" i="1"/>
  <c r="CG70" i="1"/>
  <c r="CG72" i="1"/>
  <c r="CG63" i="1"/>
  <c r="CG64" i="1"/>
  <c r="CG65" i="1"/>
  <c r="CG43" i="1"/>
  <c r="CG58" i="1"/>
  <c r="CG49" i="1"/>
  <c r="CG48" i="1"/>
  <c r="CG68" i="1"/>
  <c r="CG41" i="1"/>
  <c r="CG38" i="1"/>
  <c r="CG42" i="1"/>
  <c r="CG45" i="1"/>
  <c r="CG44" i="1"/>
  <c r="CG51" i="1"/>
  <c r="CG46" i="1"/>
  <c r="CG39" i="1"/>
  <c r="CG47" i="1"/>
  <c r="CG50" i="1"/>
  <c r="CG35" i="1"/>
  <c r="CG40" i="1"/>
  <c r="CG37" i="1"/>
  <c r="CG34" i="1"/>
  <c r="CG31" i="1"/>
  <c r="CG24" i="1"/>
  <c r="CG36" i="1"/>
  <c r="CG29" i="1"/>
  <c r="CG33" i="1"/>
  <c r="CG32" i="1"/>
  <c r="CG30" i="1"/>
  <c r="CG26" i="1"/>
  <c r="CG27" i="1"/>
  <c r="CG23" i="1"/>
  <c r="CG25" i="1"/>
  <c r="CG28" i="1"/>
  <c r="CG18" i="1"/>
  <c r="CG22" i="1"/>
  <c r="CG15" i="1"/>
  <c r="CG20" i="1"/>
  <c r="CG13" i="1"/>
  <c r="CG19" i="1"/>
  <c r="CG11" i="1"/>
  <c r="CG12" i="1"/>
  <c r="CG14" i="1"/>
  <c r="CG17" i="1"/>
  <c r="CG21" i="1"/>
  <c r="CG16" i="1"/>
  <c r="CG10" i="1"/>
  <c r="CG3" i="1"/>
  <c r="CG6" i="1"/>
  <c r="CG8" i="1"/>
  <c r="CG4" i="1"/>
  <c r="CG5" i="1"/>
  <c r="CG9" i="1"/>
  <c r="CG7" i="1"/>
  <c r="CG88" i="1"/>
  <c r="CG2" i="1"/>
  <c r="V60" i="1" l="1"/>
  <c r="W74" i="1"/>
  <c r="AG104" i="1"/>
  <c r="AE104" i="1"/>
  <c r="AG108" i="1"/>
  <c r="W82" i="1" l="1"/>
  <c r="V82" i="1"/>
  <c r="V79" i="1"/>
  <c r="W79" i="1"/>
  <c r="W78" i="1"/>
  <c r="V78" i="1"/>
  <c r="V90" i="1"/>
  <c r="W90" i="1"/>
  <c r="W80" i="1"/>
  <c r="V80" i="1"/>
  <c r="V83" i="1"/>
  <c r="W83" i="1"/>
  <c r="W86" i="1"/>
  <c r="V86" i="1"/>
  <c r="V85" i="1"/>
  <c r="W85" i="1"/>
  <c r="W81" i="1"/>
  <c r="V81" i="1"/>
  <c r="W103" i="1"/>
  <c r="V103" i="1"/>
  <c r="V97" i="1"/>
  <c r="W97" i="1"/>
  <c r="AO23" i="1"/>
  <c r="AL23" i="1"/>
  <c r="AP23" i="1"/>
  <c r="AH104" i="1"/>
  <c r="AH108" i="1"/>
  <c r="GE96" i="1"/>
  <c r="GE95" i="1"/>
  <c r="HQ95" i="1" s="1"/>
  <c r="HF103" i="1"/>
  <c r="GT103" i="1"/>
  <c r="GL103" i="1"/>
  <c r="HF99" i="1"/>
  <c r="GT99" i="1"/>
  <c r="GF99" i="1" s="1"/>
  <c r="GL99" i="1"/>
  <c r="HF74" i="1"/>
  <c r="GT74" i="1"/>
  <c r="GF74" i="1" s="1"/>
  <c r="GL74" i="1"/>
  <c r="HF102" i="1"/>
  <c r="GT102" i="1"/>
  <c r="GL102" i="1"/>
  <c r="HF101" i="1"/>
  <c r="GT101" i="1"/>
  <c r="GL101" i="1"/>
  <c r="HP76" i="1"/>
  <c r="HN76" i="1"/>
  <c r="HH76" i="1"/>
  <c r="HG76" i="1"/>
  <c r="HF76" i="1"/>
  <c r="HI76" i="1" s="1"/>
  <c r="GX76" i="1"/>
  <c r="GT76" i="1"/>
  <c r="GW76" i="1" s="1"/>
  <c r="GQ76" i="1"/>
  <c r="GL76" i="1"/>
  <c r="HP77" i="1"/>
  <c r="HN77" i="1"/>
  <c r="HH77" i="1"/>
  <c r="HG77" i="1"/>
  <c r="HF77" i="1"/>
  <c r="HI77" i="1" s="1"/>
  <c r="GX77" i="1"/>
  <c r="GT77" i="1"/>
  <c r="GW77" i="1" s="1"/>
  <c r="GQ77" i="1"/>
  <c r="GL77" i="1"/>
  <c r="HP75" i="1"/>
  <c r="HN75" i="1"/>
  <c r="HH75" i="1"/>
  <c r="HG75" i="1"/>
  <c r="HF75" i="1"/>
  <c r="HI75" i="1" s="1"/>
  <c r="GX75" i="1"/>
  <c r="GT75" i="1"/>
  <c r="GW75" i="1" s="1"/>
  <c r="GQ75" i="1"/>
  <c r="GL75" i="1"/>
  <c r="HP89" i="1"/>
  <c r="HN89" i="1"/>
  <c r="HH89" i="1"/>
  <c r="HG89" i="1"/>
  <c r="HF89" i="1"/>
  <c r="HI89" i="1" s="1"/>
  <c r="GX89" i="1"/>
  <c r="GT89" i="1"/>
  <c r="GQ89" i="1"/>
  <c r="GL89" i="1"/>
  <c r="HP87" i="1"/>
  <c r="HN87" i="1"/>
  <c r="HH87" i="1"/>
  <c r="HG87" i="1"/>
  <c r="HF87" i="1"/>
  <c r="HI87" i="1" s="1"/>
  <c r="GX87" i="1"/>
  <c r="GT87" i="1"/>
  <c r="GQ87" i="1"/>
  <c r="GL87" i="1"/>
  <c r="HP88" i="1"/>
  <c r="HN88" i="1"/>
  <c r="HH88" i="1"/>
  <c r="HG88" i="1"/>
  <c r="HF88" i="1"/>
  <c r="HI88" i="1" s="1"/>
  <c r="GX88" i="1"/>
  <c r="GT88" i="1"/>
  <c r="GQ88" i="1"/>
  <c r="GL88" i="1"/>
  <c r="HP73" i="1"/>
  <c r="HN73" i="1"/>
  <c r="HH73" i="1"/>
  <c r="HG73" i="1"/>
  <c r="HF73" i="1"/>
  <c r="GX73" i="1"/>
  <c r="GW73" i="1"/>
  <c r="GQ73" i="1"/>
  <c r="GL73" i="1"/>
  <c r="HF97" i="1"/>
  <c r="GT97" i="1"/>
  <c r="GF97" i="1" s="1"/>
  <c r="GL97" i="1"/>
  <c r="HF93" i="1"/>
  <c r="GT93" i="1"/>
  <c r="GF93" i="1" s="1"/>
  <c r="GL93" i="1"/>
  <c r="HF90" i="1"/>
  <c r="GT90" i="1"/>
  <c r="GL90" i="1"/>
  <c r="HF86" i="1"/>
  <c r="GT86" i="1"/>
  <c r="GL86" i="1"/>
  <c r="HF69" i="1"/>
  <c r="GF69" i="1"/>
  <c r="GL69" i="1"/>
  <c r="HP98" i="1"/>
  <c r="HN98" i="1"/>
  <c r="HH98" i="1"/>
  <c r="HG98" i="1"/>
  <c r="HF98" i="1"/>
  <c r="HI98" i="1" s="1"/>
  <c r="GX98" i="1"/>
  <c r="GT98" i="1"/>
  <c r="GQ98" i="1"/>
  <c r="GL98" i="1"/>
  <c r="HF83" i="1"/>
  <c r="GT83" i="1"/>
  <c r="GF83" i="1" s="1"/>
  <c r="GL83" i="1"/>
  <c r="HF82" i="1"/>
  <c r="GL82" i="1"/>
  <c r="HP96" i="1"/>
  <c r="HN96" i="1"/>
  <c r="HH96" i="1"/>
  <c r="HG96" i="1"/>
  <c r="HF96" i="1"/>
  <c r="HI96" i="1" s="1"/>
  <c r="GX96" i="1"/>
  <c r="GT96" i="1"/>
  <c r="GF96" i="1" s="1"/>
  <c r="GQ96" i="1"/>
  <c r="GL96" i="1"/>
  <c r="HF85" i="1"/>
  <c r="GT85" i="1"/>
  <c r="GF85" i="1" s="1"/>
  <c r="GL85" i="1"/>
  <c r="HF92" i="1"/>
  <c r="GT92" i="1"/>
  <c r="GF92" i="1" s="1"/>
  <c r="GL92" i="1"/>
  <c r="HF79" i="1"/>
  <c r="GT79" i="1"/>
  <c r="GF79" i="1" s="1"/>
  <c r="GL79" i="1"/>
  <c r="HF80" i="1"/>
  <c r="GT80" i="1"/>
  <c r="GF80" i="1" s="1"/>
  <c r="GL80" i="1"/>
  <c r="HP81" i="1"/>
  <c r="HN81" i="1"/>
  <c r="HH81" i="1"/>
  <c r="HG81" i="1"/>
  <c r="HF81" i="1"/>
  <c r="HI81" i="1" s="1"/>
  <c r="GX81" i="1"/>
  <c r="GT81" i="1"/>
  <c r="GQ81" i="1"/>
  <c r="GL81" i="1"/>
  <c r="HF91" i="1"/>
  <c r="GT91" i="1"/>
  <c r="GF91" i="1" s="1"/>
  <c r="GL91" i="1"/>
  <c r="HF78" i="1"/>
  <c r="GT78" i="1"/>
  <c r="GL78" i="1"/>
  <c r="HF84" i="1"/>
  <c r="GT84" i="1"/>
  <c r="GL84" i="1"/>
  <c r="HP95" i="1"/>
  <c r="HN95" i="1"/>
  <c r="HH95" i="1"/>
  <c r="HG95" i="1"/>
  <c r="HF95" i="1"/>
  <c r="HI95" i="1" s="1"/>
  <c r="GX95" i="1"/>
  <c r="GT95" i="1"/>
  <c r="GW95" i="1" s="1"/>
  <c r="GQ95" i="1"/>
  <c r="GL95" i="1"/>
  <c r="HP94" i="1"/>
  <c r="HN94" i="1"/>
  <c r="HH94" i="1"/>
  <c r="HG94" i="1"/>
  <c r="HF94" i="1"/>
  <c r="HI94" i="1" s="1"/>
  <c r="GX94" i="1"/>
  <c r="GT94" i="1"/>
  <c r="GQ94" i="1"/>
  <c r="GL94" i="1"/>
  <c r="GE103" i="1"/>
  <c r="GE99" i="1"/>
  <c r="GE74" i="1"/>
  <c r="GE102" i="1"/>
  <c r="GE101" i="1"/>
  <c r="HQ101" i="1" s="1"/>
  <c r="GE76" i="1"/>
  <c r="GE77" i="1"/>
  <c r="GE75" i="1"/>
  <c r="GI75" i="1" s="1"/>
  <c r="GE89" i="1"/>
  <c r="GE87" i="1"/>
  <c r="HQ87" i="1" s="1"/>
  <c r="GE88" i="1"/>
  <c r="GE73" i="1"/>
  <c r="GI73" i="1" s="1"/>
  <c r="GE97" i="1"/>
  <c r="GE93" i="1"/>
  <c r="GE69" i="1"/>
  <c r="HU69" i="1" s="1"/>
  <c r="GE92" i="1"/>
  <c r="GE80" i="1"/>
  <c r="HU80" i="1" s="1"/>
  <c r="GE81" i="1"/>
  <c r="GE91" i="1"/>
  <c r="HI73" i="1" l="1"/>
  <c r="GE84" i="1"/>
  <c r="HU84" i="1" s="1"/>
  <c r="GF84" i="1"/>
  <c r="GF86" i="1"/>
  <c r="GM86" i="1" s="1"/>
  <c r="GW89" i="1"/>
  <c r="GF89" i="1"/>
  <c r="GG89" i="1" s="1"/>
  <c r="GW98" i="1"/>
  <c r="GF98" i="1"/>
  <c r="GM98" i="1" s="1"/>
  <c r="GW81" i="1"/>
  <c r="GF81" i="1"/>
  <c r="GM81" i="1" s="1"/>
  <c r="GW88" i="1"/>
  <c r="GF88" i="1"/>
  <c r="GM88" i="1" s="1"/>
  <c r="GW102" i="1"/>
  <c r="GF102" i="1"/>
  <c r="GM102" i="1" s="1"/>
  <c r="GF78" i="1"/>
  <c r="GM78" i="1" s="1"/>
  <c r="GE90" i="1"/>
  <c r="HC90" i="1" s="1"/>
  <c r="GF90" i="1"/>
  <c r="GM90" i="1" s="1"/>
  <c r="GW87" i="1"/>
  <c r="GF87" i="1"/>
  <c r="GG87" i="1" s="1"/>
  <c r="GW101" i="1"/>
  <c r="GF101" i="1"/>
  <c r="GG101" i="1" s="1"/>
  <c r="GW103" i="1"/>
  <c r="GF103" i="1"/>
  <c r="GM103" i="1" s="1"/>
  <c r="GM77" i="1"/>
  <c r="GS86" i="1"/>
  <c r="GE86" i="1" s="1"/>
  <c r="HQ86" i="1" s="1"/>
  <c r="GE83" i="1"/>
  <c r="HU83" i="1" s="1"/>
  <c r="GE82" i="1"/>
  <c r="HC82" i="1" s="1"/>
  <c r="GW90" i="1"/>
  <c r="GE79" i="1"/>
  <c r="HC79" i="1" s="1"/>
  <c r="GE85" i="1"/>
  <c r="GH85" i="1" s="1"/>
  <c r="GM79" i="1"/>
  <c r="GM85" i="1"/>
  <c r="GM76" i="1"/>
  <c r="GS78" i="1"/>
  <c r="GM82" i="1"/>
  <c r="GW99" i="1"/>
  <c r="GM99" i="1"/>
  <c r="GF95" i="1"/>
  <c r="GM95" i="1" s="1"/>
  <c r="HU91" i="1"/>
  <c r="HU97" i="1"/>
  <c r="HU93" i="1"/>
  <c r="GW74" i="1"/>
  <c r="GM74" i="1"/>
  <c r="HU96" i="1"/>
  <c r="GI96" i="1"/>
  <c r="HU94" i="1"/>
  <c r="GI94" i="1"/>
  <c r="HU92" i="1"/>
  <c r="GW91" i="1"/>
  <c r="GM93" i="1"/>
  <c r="GG93" i="1"/>
  <c r="GM97" i="1"/>
  <c r="GG97" i="1"/>
  <c r="GI81" i="1"/>
  <c r="HQ81" i="1"/>
  <c r="HU81" i="1"/>
  <c r="HC81" i="1"/>
  <c r="GH81" i="1"/>
  <c r="HQ98" i="1"/>
  <c r="GI98" i="1"/>
  <c r="HU98" i="1"/>
  <c r="HC98" i="1"/>
  <c r="GH98" i="1"/>
  <c r="HU88" i="1"/>
  <c r="HC88" i="1"/>
  <c r="GH88" i="1"/>
  <c r="HQ88" i="1"/>
  <c r="GI88" i="1"/>
  <c r="GM92" i="1"/>
  <c r="GG92" i="1"/>
  <c r="GM83" i="1"/>
  <c r="GW84" i="1"/>
  <c r="HU89" i="1"/>
  <c r="HC89" i="1"/>
  <c r="GH89" i="1"/>
  <c r="GI89" i="1"/>
  <c r="HQ89" i="1"/>
  <c r="GF94" i="1"/>
  <c r="GW94" i="1"/>
  <c r="GM80" i="1"/>
  <c r="GG80" i="1"/>
  <c r="GM96" i="1"/>
  <c r="GG96" i="1"/>
  <c r="GM69" i="1"/>
  <c r="GG69" i="1"/>
  <c r="GI95" i="1"/>
  <c r="HU95" i="1"/>
  <c r="HC95" i="1"/>
  <c r="GH95" i="1"/>
  <c r="HU77" i="1"/>
  <c r="HC77" i="1"/>
  <c r="GH77" i="1"/>
  <c r="HQ77" i="1"/>
  <c r="GI77" i="1"/>
  <c r="HU102" i="1"/>
  <c r="HC102" i="1"/>
  <c r="GH102" i="1"/>
  <c r="HQ102" i="1"/>
  <c r="HU74" i="1"/>
  <c r="HC74" i="1"/>
  <c r="GH74" i="1"/>
  <c r="HQ74" i="1"/>
  <c r="HU99" i="1"/>
  <c r="HC99" i="1"/>
  <c r="GH99" i="1"/>
  <c r="HQ99" i="1"/>
  <c r="GW80" i="1"/>
  <c r="GW92" i="1"/>
  <c r="GW96" i="1"/>
  <c r="GW69" i="1"/>
  <c r="GW93" i="1"/>
  <c r="GW97" i="1"/>
  <c r="HU73" i="1"/>
  <c r="HC73" i="1"/>
  <c r="HU87" i="1"/>
  <c r="HC87" i="1"/>
  <c r="GH87" i="1"/>
  <c r="HU75" i="1"/>
  <c r="HC75" i="1"/>
  <c r="GH75" i="1"/>
  <c r="GI76" i="1"/>
  <c r="HU76" i="1"/>
  <c r="HC76" i="1"/>
  <c r="GH76" i="1"/>
  <c r="HU101" i="1"/>
  <c r="HC101" i="1"/>
  <c r="GH101" i="1"/>
  <c r="HU103" i="1"/>
  <c r="HC103" i="1"/>
  <c r="GH103" i="1"/>
  <c r="HQ94" i="1"/>
  <c r="HQ91" i="1"/>
  <c r="HQ80" i="1"/>
  <c r="HQ92" i="1"/>
  <c r="HQ96" i="1"/>
  <c r="HQ69" i="1"/>
  <c r="HQ93" i="1"/>
  <c r="HQ97" i="1"/>
  <c r="GI87" i="1"/>
  <c r="GH94" i="1"/>
  <c r="HC94" i="1"/>
  <c r="GH91" i="1"/>
  <c r="HC91" i="1"/>
  <c r="GH80" i="1"/>
  <c r="HC80" i="1"/>
  <c r="GH92" i="1"/>
  <c r="HC92" i="1"/>
  <c r="GH96" i="1"/>
  <c r="HC96" i="1"/>
  <c r="GH69" i="1"/>
  <c r="HC69" i="1"/>
  <c r="GH93" i="1"/>
  <c r="HC93" i="1"/>
  <c r="GH97" i="1"/>
  <c r="HC97" i="1"/>
  <c r="GH73" i="1"/>
  <c r="HQ73" i="1"/>
  <c r="HQ75" i="1"/>
  <c r="HQ76" i="1"/>
  <c r="HQ103" i="1"/>
  <c r="HU90" i="1" l="1"/>
  <c r="GH90" i="1"/>
  <c r="HQ90" i="1"/>
  <c r="HC84" i="1"/>
  <c r="HQ84" i="1"/>
  <c r="GH84" i="1"/>
  <c r="GG103" i="1"/>
  <c r="GE78" i="1"/>
  <c r="HQ78" i="1" s="1"/>
  <c r="HU86" i="1"/>
  <c r="GG88" i="1"/>
  <c r="GG77" i="1"/>
  <c r="GG98" i="1"/>
  <c r="HC85" i="1"/>
  <c r="GM89" i="1"/>
  <c r="GG99" i="1"/>
  <c r="HQ85" i="1"/>
  <c r="HC83" i="1"/>
  <c r="GH83" i="1"/>
  <c r="HQ83" i="1"/>
  <c r="GW83" i="1"/>
  <c r="GH86" i="1"/>
  <c r="HC86" i="1"/>
  <c r="HU82" i="1"/>
  <c r="GG86" i="1"/>
  <c r="GW86" i="1"/>
  <c r="HQ82" i="1"/>
  <c r="GG76" i="1"/>
  <c r="GH82" i="1"/>
  <c r="HQ79" i="1"/>
  <c r="GG83" i="1"/>
  <c r="GG90" i="1"/>
  <c r="GW82" i="1"/>
  <c r="GM101" i="1"/>
  <c r="HU79" i="1"/>
  <c r="HU85" i="1"/>
  <c r="GH79" i="1"/>
  <c r="GG79" i="1"/>
  <c r="GW79" i="1"/>
  <c r="GW85" i="1"/>
  <c r="GG85" i="1"/>
  <c r="GG81" i="1"/>
  <c r="GM87" i="1"/>
  <c r="GG82" i="1"/>
  <c r="GW78" i="1"/>
  <c r="GG102" i="1"/>
  <c r="GG74" i="1"/>
  <c r="GG95" i="1"/>
  <c r="GM73" i="1"/>
  <c r="GG73" i="1"/>
  <c r="GM84" i="1"/>
  <c r="GG84" i="1"/>
  <c r="GG75" i="1"/>
  <c r="GM75" i="1"/>
  <c r="GM94" i="1"/>
  <c r="GG94" i="1"/>
  <c r="GM91" i="1"/>
  <c r="GG91" i="1"/>
  <c r="HU78" i="1" l="1"/>
  <c r="GG78" i="1"/>
  <c r="GH78" i="1"/>
  <c r="HC78" i="1"/>
  <c r="CK2" i="1" l="1"/>
  <c r="CJ2" i="1"/>
  <c r="CS103" i="1" l="1"/>
  <c r="CR103" i="1"/>
  <c r="CL103" i="1" s="1"/>
  <c r="CS81" i="1"/>
  <c r="CR81" i="1"/>
  <c r="CL81" i="1" s="1"/>
  <c r="CS99" i="1"/>
  <c r="CR99" i="1"/>
  <c r="CL99" i="1" s="1"/>
  <c r="CS97" i="1"/>
  <c r="CR97" i="1"/>
  <c r="CL97" i="1" s="1"/>
  <c r="CS93" i="1"/>
  <c r="CR93" i="1"/>
  <c r="CL93" i="1" s="1"/>
  <c r="CS69" i="1"/>
  <c r="CR69" i="1"/>
  <c r="CL69" i="1" s="1"/>
  <c r="CS80" i="1"/>
  <c r="CR80" i="1"/>
  <c r="CL80" i="1" s="1"/>
  <c r="CS92" i="1"/>
  <c r="CR92" i="1"/>
  <c r="CS85" i="1"/>
  <c r="CR85" i="1"/>
  <c r="CL85" i="1" s="1"/>
  <c r="CS86" i="1"/>
  <c r="CR86" i="1"/>
  <c r="CL86" i="1" s="1"/>
  <c r="CS84" i="1"/>
  <c r="CR84" i="1"/>
  <c r="CL84" i="1" s="1"/>
  <c r="CS90" i="1"/>
  <c r="CR90" i="1"/>
  <c r="CS91" i="1"/>
  <c r="CR91" i="1"/>
  <c r="CL91" i="1" s="1"/>
  <c r="CS79" i="1"/>
  <c r="CR79" i="1"/>
  <c r="CL79" i="1" s="1"/>
  <c r="CS83" i="1"/>
  <c r="CR83" i="1"/>
  <c r="CL83" i="1" s="1"/>
  <c r="CS78" i="1"/>
  <c r="CR78" i="1"/>
  <c r="CS66" i="1"/>
  <c r="CR66" i="1"/>
  <c r="CL66" i="1" s="1"/>
  <c r="CS60" i="1"/>
  <c r="CR60" i="1"/>
  <c r="CL60" i="1" s="1"/>
  <c r="CS61" i="1"/>
  <c r="CR61" i="1"/>
  <c r="CS67" i="1"/>
  <c r="CR67" i="1"/>
  <c r="CL67" i="1" s="1"/>
  <c r="CS68" i="1"/>
  <c r="CR68" i="1"/>
  <c r="CL68" i="1" s="1"/>
  <c r="CS62" i="1"/>
  <c r="CR62" i="1"/>
  <c r="CL62" i="1" s="1"/>
  <c r="CS58" i="1"/>
  <c r="CO58" i="1"/>
  <c r="CS59" i="1"/>
  <c r="CR59" i="1"/>
  <c r="CL59" i="1" s="1"/>
  <c r="CS54" i="1"/>
  <c r="CR54" i="1"/>
  <c r="CL54" i="1" s="1"/>
  <c r="CS56" i="1"/>
  <c r="CR56" i="1"/>
  <c r="CL56" i="1" s="1"/>
  <c r="CS53" i="1"/>
  <c r="CR53" i="1"/>
  <c r="CL53" i="1" s="1"/>
  <c r="CS55" i="1"/>
  <c r="CR55" i="1"/>
  <c r="CL55" i="1" s="1"/>
  <c r="CS57" i="1"/>
  <c r="CL57" i="1"/>
  <c r="CI103" i="1"/>
  <c r="CI81" i="1"/>
  <c r="CI80" i="1"/>
  <c r="CI92" i="1"/>
  <c r="CI90" i="1"/>
  <c r="CI91" i="1"/>
  <c r="FO61" i="1" l="1"/>
  <c r="CL61" i="1"/>
  <c r="FO78" i="1"/>
  <c r="CL78" i="1"/>
  <c r="FO90" i="1"/>
  <c r="CL90" i="1"/>
  <c r="FO92" i="1"/>
  <c r="CL92" i="1"/>
  <c r="CJ55" i="1"/>
  <c r="CO55" i="1" s="1"/>
  <c r="FO55" i="1"/>
  <c r="CJ56" i="1"/>
  <c r="FO56" i="1"/>
  <c r="CV59" i="1"/>
  <c r="CW59" i="1" s="1"/>
  <c r="FO59" i="1"/>
  <c r="CV62" i="1"/>
  <c r="CW62" i="1" s="1"/>
  <c r="FO62" i="1"/>
  <c r="CV67" i="1"/>
  <c r="CW67" i="1" s="1"/>
  <c r="FO67" i="1"/>
  <c r="CV60" i="1"/>
  <c r="CW60" i="1" s="1"/>
  <c r="FO60" i="1"/>
  <c r="CV79" i="1"/>
  <c r="CW79" i="1" s="1"/>
  <c r="FO79" i="1"/>
  <c r="CV86" i="1"/>
  <c r="CW86" i="1" s="1"/>
  <c r="CC86" i="1" s="1"/>
  <c r="FO86" i="1"/>
  <c r="CJ69" i="1"/>
  <c r="FO69" i="1"/>
  <c r="CV97" i="1"/>
  <c r="CW97" i="1" s="1"/>
  <c r="FO97" i="1"/>
  <c r="CV81" i="1"/>
  <c r="CW81" i="1" s="1"/>
  <c r="FO81" i="1"/>
  <c r="CV53" i="1"/>
  <c r="CW53" i="1" s="1"/>
  <c r="FO53" i="1"/>
  <c r="CV54" i="1"/>
  <c r="CW54" i="1" s="1"/>
  <c r="FO54" i="1"/>
  <c r="CV68" i="1"/>
  <c r="CK68" i="1" s="1"/>
  <c r="FO68" i="1"/>
  <c r="CJ66" i="1"/>
  <c r="FO66" i="1"/>
  <c r="CV83" i="1"/>
  <c r="CW83" i="1" s="1"/>
  <c r="FO83" i="1"/>
  <c r="CV91" i="1"/>
  <c r="CW91" i="1" s="1"/>
  <c r="FO91" i="1"/>
  <c r="CV84" i="1"/>
  <c r="CW84" i="1" s="1"/>
  <c r="FO84" i="1"/>
  <c r="CV85" i="1"/>
  <c r="CW85" i="1" s="1"/>
  <c r="FO85" i="1"/>
  <c r="CV80" i="1"/>
  <c r="CW80" i="1" s="1"/>
  <c r="FO80" i="1"/>
  <c r="CV93" i="1"/>
  <c r="CW93" i="1" s="1"/>
  <c r="FO93" i="1"/>
  <c r="CV99" i="1"/>
  <c r="CW99" i="1" s="1"/>
  <c r="FO99" i="1"/>
  <c r="CV103" i="1"/>
  <c r="CW103" i="1" s="1"/>
  <c r="CC103" i="1" s="1"/>
  <c r="FO103" i="1"/>
  <c r="CJ57" i="1"/>
  <c r="CO57" i="1" s="1"/>
  <c r="FO57" i="1"/>
  <c r="CV56" i="1"/>
  <c r="CW56" i="1" s="1"/>
  <c r="CJ84" i="1"/>
  <c r="CV58" i="1"/>
  <c r="CJ68" i="1"/>
  <c r="CJ91" i="1"/>
  <c r="CO91" i="1" s="1"/>
  <c r="CJ99" i="1"/>
  <c r="CO99" i="1" s="1"/>
  <c r="CJ80" i="1"/>
  <c r="CV69" i="1"/>
  <c r="CW69" i="1" s="1"/>
  <c r="CC69" i="1" s="1"/>
  <c r="CJ79" i="1"/>
  <c r="CJ85" i="1"/>
  <c r="CJ53" i="1"/>
  <c r="CO53" i="1" s="1"/>
  <c r="CJ67" i="1"/>
  <c r="CV66" i="1"/>
  <c r="CW66" i="1" s="1"/>
  <c r="CJ86" i="1"/>
  <c r="CJ97" i="1"/>
  <c r="CV57" i="1"/>
  <c r="CW57" i="1" s="1"/>
  <c r="CJ62" i="1"/>
  <c r="CJ93" i="1"/>
  <c r="CJ103" i="1"/>
  <c r="CJ59" i="1"/>
  <c r="CJ54" i="1"/>
  <c r="CJ92" i="1"/>
  <c r="CV92" i="1"/>
  <c r="CW92" i="1" s="1"/>
  <c r="CV55" i="1"/>
  <c r="CW55" i="1" s="1"/>
  <c r="CJ60" i="1"/>
  <c r="CJ90" i="1"/>
  <c r="CV90" i="1"/>
  <c r="CW90" i="1" s="1"/>
  <c r="CJ81" i="1"/>
  <c r="CJ61" i="1"/>
  <c r="CV61" i="1"/>
  <c r="CW61" i="1" s="1"/>
  <c r="CJ83" i="1"/>
  <c r="CJ78" i="1"/>
  <c r="CV78" i="1"/>
  <c r="CW78" i="1" s="1"/>
  <c r="CO69" i="1" l="1"/>
  <c r="CO56" i="1"/>
  <c r="CO66" i="1"/>
  <c r="CK61" i="1"/>
  <c r="FR61" i="1"/>
  <c r="FX61" i="1" s="1"/>
  <c r="CK57" i="1"/>
  <c r="FR57" i="1"/>
  <c r="FX57" i="1" s="1"/>
  <c r="CK69" i="1"/>
  <c r="FR69" i="1"/>
  <c r="FX69" i="1" s="1"/>
  <c r="CK99" i="1"/>
  <c r="FR99" i="1"/>
  <c r="FX99" i="1" s="1"/>
  <c r="CK84" i="1"/>
  <c r="FR84" i="1"/>
  <c r="FX84" i="1" s="1"/>
  <c r="CK83" i="1"/>
  <c r="FR83" i="1"/>
  <c r="FX83" i="1" s="1"/>
  <c r="CK53" i="1"/>
  <c r="FR53" i="1"/>
  <c r="FX53" i="1" s="1"/>
  <c r="CK97" i="1"/>
  <c r="FR97" i="1"/>
  <c r="FX97" i="1" s="1"/>
  <c r="CK86" i="1"/>
  <c r="FR86" i="1"/>
  <c r="FX86" i="1" s="1"/>
  <c r="CK60" i="1"/>
  <c r="FR60" i="1"/>
  <c r="FX60" i="1" s="1"/>
  <c r="CK62" i="1"/>
  <c r="FR62" i="1"/>
  <c r="FX62" i="1" s="1"/>
  <c r="CK80" i="1"/>
  <c r="CM80" i="1" s="1"/>
  <c r="FR80" i="1"/>
  <c r="FX80" i="1" s="1"/>
  <c r="CK56" i="1"/>
  <c r="FR56" i="1"/>
  <c r="FX56" i="1" s="1"/>
  <c r="CK78" i="1"/>
  <c r="FR78" i="1"/>
  <c r="FX78" i="1" s="1"/>
  <c r="CK92" i="1"/>
  <c r="CM92" i="1" s="1"/>
  <c r="FR92" i="1"/>
  <c r="FX92" i="1" s="1"/>
  <c r="CK90" i="1"/>
  <c r="CM90" i="1" s="1"/>
  <c r="FR90" i="1"/>
  <c r="FX90" i="1" s="1"/>
  <c r="CK55" i="1"/>
  <c r="FR55" i="1"/>
  <c r="FX55" i="1" s="1"/>
  <c r="CK66" i="1"/>
  <c r="FR66" i="1"/>
  <c r="FX66" i="1" s="1"/>
  <c r="CK103" i="1"/>
  <c r="CM103" i="1" s="1"/>
  <c r="FR103" i="1"/>
  <c r="FX103" i="1" s="1"/>
  <c r="CK93" i="1"/>
  <c r="FR93" i="1"/>
  <c r="FX93" i="1" s="1"/>
  <c r="CK85" i="1"/>
  <c r="FR85" i="1"/>
  <c r="FX85" i="1" s="1"/>
  <c r="CK91" i="1"/>
  <c r="CM91" i="1" s="1"/>
  <c r="FR91" i="1"/>
  <c r="FX91" i="1" s="1"/>
  <c r="CK54" i="1"/>
  <c r="FR54" i="1"/>
  <c r="FX54" i="1" s="1"/>
  <c r="CK81" i="1"/>
  <c r="CM81" i="1" s="1"/>
  <c r="FR81" i="1"/>
  <c r="FX81" i="1" s="1"/>
  <c r="CK79" i="1"/>
  <c r="FR79" i="1"/>
  <c r="FX79" i="1" s="1"/>
  <c r="CK67" i="1"/>
  <c r="FR67" i="1"/>
  <c r="FX67" i="1" s="1"/>
  <c r="CK59" i="1"/>
  <c r="FR59" i="1"/>
  <c r="FX59" i="1" s="1"/>
  <c r="CW58" i="1"/>
  <c r="CC58" i="1" s="1"/>
  <c r="CO68" i="1"/>
  <c r="HP103" i="1"/>
  <c r="HN103" i="1"/>
  <c r="GX103" i="1"/>
  <c r="HH103" i="1"/>
  <c r="GQ103" i="1"/>
  <c r="HG103" i="1"/>
  <c r="HI103" i="1"/>
  <c r="GI103" i="1"/>
  <c r="CO84" i="1"/>
  <c r="CO80" i="1"/>
  <c r="CO97" i="1"/>
  <c r="CO79" i="1"/>
  <c r="CO85" i="1"/>
  <c r="CO93" i="1"/>
  <c r="CO86" i="1"/>
  <c r="CO67" i="1"/>
  <c r="CO62" i="1"/>
  <c r="CO59" i="1"/>
  <c r="CO78" i="1"/>
  <c r="CO103" i="1"/>
  <c r="CO61" i="1"/>
  <c r="CO81" i="1"/>
  <c r="CO90" i="1"/>
  <c r="CO92" i="1"/>
  <c r="CO60" i="1"/>
  <c r="CO83" i="1"/>
  <c r="CO54" i="1"/>
  <c r="CK58" i="1" l="1"/>
  <c r="FR58" i="1"/>
  <c r="FX58" i="1" s="1"/>
  <c r="HN90" i="1" l="1"/>
  <c r="GX90" i="1"/>
  <c r="HH90" i="1"/>
  <c r="HG90" i="1"/>
  <c r="GQ90" i="1"/>
  <c r="HP90" i="1"/>
  <c r="HI90" i="1"/>
  <c r="GI90" i="1"/>
  <c r="HG80" i="1" l="1"/>
  <c r="GQ80" i="1"/>
  <c r="HP80" i="1"/>
  <c r="HN80" i="1"/>
  <c r="GX80" i="1"/>
  <c r="HH80" i="1"/>
  <c r="GI80" i="1"/>
  <c r="HI80" i="1"/>
  <c r="HG91" i="1" l="1"/>
  <c r="GQ91" i="1"/>
  <c r="HP91" i="1"/>
  <c r="HN91" i="1"/>
  <c r="GX91" i="1"/>
  <c r="HH91" i="1"/>
  <c r="GI91" i="1"/>
  <c r="HI91" i="1"/>
  <c r="BK57" i="1" l="1"/>
  <c r="BK48" i="1"/>
  <c r="BK49" i="1"/>
  <c r="BK52" i="1"/>
  <c r="BK43" i="1" l="1"/>
  <c r="I28" i="1" l="1"/>
  <c r="HG92" i="1" l="1"/>
  <c r="GQ92" i="1"/>
  <c r="HP92" i="1"/>
  <c r="HN92" i="1"/>
  <c r="GX92" i="1"/>
  <c r="HH92" i="1"/>
  <c r="GI92" i="1"/>
  <c r="HI92" i="1"/>
  <c r="BX19" i="1" l="1"/>
  <c r="BX18" i="1"/>
  <c r="BX29" i="1"/>
  <c r="BX33" i="1"/>
  <c r="BX46" i="1" l="1"/>
  <c r="I152" i="1" l="1"/>
  <c r="C123" i="1"/>
  <c r="CI82" i="1" l="1"/>
  <c r="CI84" i="1"/>
  <c r="CM84" i="1" s="1"/>
  <c r="CI83" i="1"/>
  <c r="CM83" i="1" s="1"/>
  <c r="CI78" i="1"/>
  <c r="CM78" i="1" s="1"/>
  <c r="CI97" i="1"/>
  <c r="CM97" i="1" s="1"/>
  <c r="CR82" i="1"/>
  <c r="CL82" i="1" s="1"/>
  <c r="CV82" i="1" l="1"/>
  <c r="CW82" i="1" s="1"/>
  <c r="FO82" i="1"/>
  <c r="CJ82" i="1"/>
  <c r="CK82" i="1" l="1"/>
  <c r="CM82" i="1" s="1"/>
  <c r="FR82" i="1"/>
  <c r="FX82" i="1" s="1"/>
  <c r="CO82" i="1"/>
  <c r="HP78" i="1" l="1"/>
  <c r="HN78" i="1"/>
  <c r="GX78" i="1"/>
  <c r="HH78" i="1"/>
  <c r="GQ78" i="1"/>
  <c r="HG78" i="1"/>
  <c r="HI78" i="1"/>
  <c r="GI78" i="1"/>
  <c r="R78" i="1"/>
  <c r="GT66" i="1" l="1"/>
  <c r="HE38" i="1" l="1"/>
  <c r="AS4" i="1" l="1"/>
  <c r="HG83" i="1" l="1"/>
  <c r="GQ83" i="1"/>
  <c r="HP83" i="1"/>
  <c r="HN83" i="1"/>
  <c r="GX83" i="1"/>
  <c r="HH83" i="1"/>
  <c r="HI83" i="1"/>
  <c r="GI83" i="1"/>
  <c r="HG97" i="1"/>
  <c r="GQ97" i="1"/>
  <c r="HP97" i="1"/>
  <c r="HN97" i="1"/>
  <c r="GX97" i="1"/>
  <c r="HH97" i="1"/>
  <c r="GI97" i="1"/>
  <c r="HI97" i="1"/>
  <c r="HH84" i="1"/>
  <c r="HG84" i="1"/>
  <c r="GQ84" i="1"/>
  <c r="HP84" i="1"/>
  <c r="HN84" i="1"/>
  <c r="GX84" i="1"/>
  <c r="GI84" i="1"/>
  <c r="HI84" i="1"/>
  <c r="R83" i="1"/>
  <c r="R97" i="1"/>
  <c r="W84" i="1"/>
  <c r="R84" i="1"/>
  <c r="V84" i="1"/>
  <c r="AK83" i="1"/>
  <c r="GT53" i="1" l="1"/>
  <c r="GT43" i="1" l="1"/>
  <c r="GF43" i="1" s="1"/>
  <c r="CS39" i="1" l="1"/>
  <c r="GQ72" i="1" l="1"/>
  <c r="GQ70" i="1"/>
  <c r="GQ65" i="1"/>
  <c r="GQ71" i="1"/>
  <c r="GQ64" i="1"/>
  <c r="GR72" i="1"/>
  <c r="GR70" i="1"/>
  <c r="GR65" i="1"/>
  <c r="GR71" i="1"/>
  <c r="GR64" i="1"/>
  <c r="GR63" i="1"/>
  <c r="GE67" i="1" l="1"/>
  <c r="GT57" i="1" l="1"/>
  <c r="CJ40" i="1" l="1"/>
  <c r="CJ34" i="1" l="1"/>
  <c r="CI34" i="1"/>
  <c r="M159" i="1" l="1"/>
  <c r="M158" i="1"/>
  <c r="M157" i="1"/>
  <c r="M156" i="1"/>
  <c r="M155" i="1"/>
  <c r="M154" i="1"/>
  <c r="M153" i="1"/>
  <c r="M152" i="1"/>
  <c r="K159" i="1"/>
  <c r="K158" i="1"/>
  <c r="K157" i="1"/>
  <c r="K156" i="1"/>
  <c r="K155" i="1"/>
  <c r="K154" i="1"/>
  <c r="K153" i="1"/>
  <c r="K152" i="1"/>
  <c r="I159" i="1"/>
  <c r="I158" i="1"/>
  <c r="I157" i="1"/>
  <c r="I156" i="1"/>
  <c r="I155" i="1"/>
  <c r="I154" i="1"/>
  <c r="I153" i="1"/>
  <c r="G159" i="1"/>
  <c r="G158" i="1"/>
  <c r="G157" i="1"/>
  <c r="G156" i="1"/>
  <c r="G155" i="1"/>
  <c r="G154" i="1"/>
  <c r="G153" i="1"/>
  <c r="E159" i="1"/>
  <c r="E158" i="1"/>
  <c r="E157" i="1"/>
  <c r="E156" i="1"/>
  <c r="E155" i="1"/>
  <c r="E154" i="1"/>
  <c r="E153" i="1"/>
  <c r="E152" i="1"/>
  <c r="C159" i="1"/>
  <c r="C158" i="1"/>
  <c r="C157" i="1"/>
  <c r="C156" i="1"/>
  <c r="C155" i="1"/>
  <c r="C154" i="1"/>
  <c r="C153" i="1"/>
  <c r="C152" i="1"/>
  <c r="O153" i="1" l="1"/>
  <c r="O157" i="1"/>
  <c r="O159" i="1"/>
  <c r="O155" i="1"/>
  <c r="O156" i="1"/>
  <c r="O154" i="1"/>
  <c r="O158" i="1"/>
  <c r="I160" i="1"/>
  <c r="J156" i="1" s="1"/>
  <c r="O152" i="1"/>
  <c r="K160" i="1"/>
  <c r="L158" i="1" s="1"/>
  <c r="M160" i="1"/>
  <c r="N155" i="1" s="1"/>
  <c r="G160" i="1"/>
  <c r="H153" i="1" s="1"/>
  <c r="E160" i="1"/>
  <c r="F158" i="1" s="1"/>
  <c r="C160" i="1"/>
  <c r="D153" i="1" s="1"/>
  <c r="J155" i="1" l="1"/>
  <c r="J153" i="1"/>
  <c r="J154" i="1"/>
  <c r="J152" i="1"/>
  <c r="J159" i="1"/>
  <c r="J157" i="1"/>
  <c r="J158" i="1"/>
  <c r="O160" i="1"/>
  <c r="L154" i="1"/>
  <c r="H152" i="1"/>
  <c r="N159" i="1"/>
  <c r="L157" i="1"/>
  <c r="L153" i="1"/>
  <c r="H159" i="1"/>
  <c r="N157" i="1"/>
  <c r="N153" i="1"/>
  <c r="N158" i="1"/>
  <c r="N152" i="1"/>
  <c r="N156" i="1"/>
  <c r="H155" i="1"/>
  <c r="L155" i="1"/>
  <c r="L159" i="1"/>
  <c r="N154" i="1"/>
  <c r="L152" i="1"/>
  <c r="L156" i="1"/>
  <c r="H156" i="1"/>
  <c r="H158" i="1"/>
  <c r="H157" i="1"/>
  <c r="H154" i="1"/>
  <c r="F155" i="1"/>
  <c r="F152" i="1"/>
  <c r="F154" i="1"/>
  <c r="F159" i="1"/>
  <c r="F157" i="1"/>
  <c r="F156" i="1"/>
  <c r="F153" i="1"/>
  <c r="D156" i="1"/>
  <c r="D159" i="1"/>
  <c r="D157" i="1"/>
  <c r="D154" i="1"/>
  <c r="D152" i="1"/>
  <c r="D155" i="1"/>
  <c r="D158" i="1"/>
  <c r="J160" i="1" l="1"/>
  <c r="H160" i="1"/>
  <c r="L160" i="1"/>
  <c r="N160" i="1"/>
  <c r="F160" i="1"/>
  <c r="D160" i="1"/>
  <c r="J134" i="1" l="1"/>
  <c r="J133" i="1"/>
  <c r="J132" i="1"/>
  <c r="J131" i="1"/>
  <c r="J130" i="1"/>
  <c r="J129" i="1"/>
  <c r="J128" i="1"/>
  <c r="J127" i="1"/>
  <c r="J126" i="1"/>
  <c r="J125" i="1"/>
  <c r="J124" i="1"/>
  <c r="J123" i="1"/>
  <c r="I123" i="1"/>
  <c r="C126" i="1"/>
  <c r="D126" i="1"/>
  <c r="E126" i="1"/>
  <c r="F126" i="1"/>
  <c r="G126" i="1"/>
  <c r="H126" i="1"/>
  <c r="I126" i="1"/>
  <c r="G123" i="1"/>
  <c r="G124" i="1"/>
  <c r="G125" i="1"/>
  <c r="G128" i="1"/>
  <c r="G129" i="1"/>
  <c r="G130" i="1"/>
  <c r="G131" i="1"/>
  <c r="G132" i="1"/>
  <c r="G133" i="1"/>
  <c r="G134" i="1"/>
  <c r="C132" i="1"/>
  <c r="D132" i="1"/>
  <c r="E132" i="1"/>
  <c r="F132" i="1"/>
  <c r="H132" i="1"/>
  <c r="I132" i="1"/>
  <c r="C134" i="1"/>
  <c r="D134" i="1"/>
  <c r="E134" i="1"/>
  <c r="F134" i="1"/>
  <c r="H134" i="1"/>
  <c r="I134" i="1"/>
  <c r="O134" i="1"/>
  <c r="BD132" i="1"/>
  <c r="J135" i="1" l="1"/>
  <c r="HF50" i="1"/>
  <c r="GT50" i="1"/>
  <c r="GL50" i="1"/>
  <c r="GE50" i="1"/>
  <c r="GH50" i="1" s="1"/>
  <c r="GF50" i="1" l="1"/>
  <c r="GM50" i="1" s="1"/>
  <c r="J137" i="1"/>
  <c r="P159" i="1"/>
  <c r="HC50" i="1"/>
  <c r="GW50" i="1"/>
  <c r="HQ50" i="1"/>
  <c r="GG50" i="1" l="1"/>
  <c r="HU50" i="1"/>
  <c r="CI74" i="1"/>
  <c r="CI101" i="1"/>
  <c r="CI89" i="1"/>
  <c r="CI88" i="1"/>
  <c r="CI87" i="1"/>
  <c r="CI77" i="1"/>
  <c r="CI76" i="1"/>
  <c r="CI75" i="1"/>
  <c r="CI73" i="1"/>
  <c r="CI85" i="1"/>
  <c r="CM85" i="1" s="1"/>
  <c r="CI79" i="1"/>
  <c r="CM79" i="1" s="1"/>
  <c r="CI99" i="1"/>
  <c r="CM99" i="1" s="1"/>
  <c r="CI86" i="1"/>
  <c r="CM86" i="1" s="1"/>
  <c r="CI93" i="1"/>
  <c r="CM93" i="1" s="1"/>
  <c r="CI98" i="1"/>
  <c r="CI96" i="1"/>
  <c r="CI95" i="1"/>
  <c r="CI94" i="1"/>
  <c r="CI60" i="1"/>
  <c r="CM60" i="1" s="1"/>
  <c r="CI67" i="1"/>
  <c r="CM67" i="1" s="1"/>
  <c r="CI61" i="1"/>
  <c r="CM61" i="1" s="1"/>
  <c r="CI59" i="1"/>
  <c r="CM59" i="1" s="1"/>
  <c r="CI66" i="1"/>
  <c r="CM66" i="1" s="1"/>
  <c r="CI102" i="1"/>
  <c r="CI69" i="1"/>
  <c r="CM69" i="1" s="1"/>
  <c r="CI68" i="1"/>
  <c r="CM68" i="1" s="1"/>
  <c r="CI72" i="1"/>
  <c r="CI62" i="1"/>
  <c r="CM62" i="1" s="1"/>
  <c r="CI58" i="1"/>
  <c r="CM58" i="1" s="1"/>
  <c r="CI70" i="1"/>
  <c r="CI65" i="1"/>
  <c r="CI71" i="1"/>
  <c r="CI64" i="1"/>
  <c r="CI63" i="1"/>
  <c r="CI56" i="1"/>
  <c r="CM56" i="1" s="1"/>
  <c r="CI50" i="1"/>
  <c r="CI52" i="1"/>
  <c r="CI57" i="1"/>
  <c r="CM57" i="1" s="1"/>
  <c r="CI53" i="1"/>
  <c r="CM53" i="1" s="1"/>
  <c r="CI54" i="1"/>
  <c r="CM54" i="1" s="1"/>
  <c r="CI55" i="1"/>
  <c r="CM55" i="1" s="1"/>
  <c r="CI49" i="1"/>
  <c r="CI43" i="1"/>
  <c r="CI44" i="1"/>
  <c r="CI45" i="1"/>
  <c r="CI48" i="1"/>
  <c r="CI51" i="1"/>
  <c r="CI46" i="1"/>
  <c r="CI39" i="1"/>
  <c r="CI41" i="1"/>
  <c r="CI47" i="1"/>
  <c r="CI42" i="1"/>
  <c r="CI37" i="1"/>
  <c r="CI38" i="1"/>
  <c r="CI27" i="1"/>
  <c r="CI24" i="1"/>
  <c r="CI36" i="1"/>
  <c r="CI26" i="1"/>
  <c r="CI30" i="1"/>
  <c r="CI29" i="1"/>
  <c r="CI23" i="1"/>
  <c r="CI32" i="1"/>
  <c r="CI31" i="1"/>
  <c r="CI25" i="1"/>
  <c r="CI35" i="1"/>
  <c r="CI40" i="1"/>
  <c r="CI28" i="1"/>
  <c r="CI13" i="1"/>
  <c r="CI19" i="1"/>
  <c r="CI20" i="1"/>
  <c r="CI12" i="1"/>
  <c r="CI11" i="1"/>
  <c r="CI15" i="1"/>
  <c r="CI14" i="1"/>
  <c r="CI18" i="1"/>
  <c r="CI21" i="1"/>
  <c r="CI22" i="1"/>
  <c r="CI33" i="1"/>
  <c r="CI17" i="1"/>
  <c r="CI16" i="1"/>
  <c r="CI7" i="1"/>
  <c r="CI10" i="1"/>
  <c r="CI8" i="1"/>
  <c r="CI6" i="1"/>
  <c r="CI4" i="1"/>
  <c r="CI9" i="1"/>
  <c r="CI5" i="1"/>
  <c r="CI3" i="1"/>
  <c r="CJ44" i="1"/>
  <c r="CO44" i="1" s="1"/>
  <c r="CJ50" i="1" l="1"/>
  <c r="CS50" i="1"/>
  <c r="CB50" i="1"/>
  <c r="BZ50" i="1"/>
  <c r="BK42" i="1"/>
  <c r="BK47" i="1"/>
  <c r="BK41" i="1"/>
  <c r="BK46" i="1"/>
  <c r="BK50" i="1"/>
  <c r="BK44" i="1"/>
  <c r="BK45" i="1"/>
  <c r="CW50" i="1" l="1"/>
  <c r="CO50" i="1"/>
  <c r="U50" i="1"/>
  <c r="Y50" i="1"/>
  <c r="S50" i="1"/>
  <c r="T50" i="1"/>
  <c r="FR50" i="1" l="1"/>
  <c r="FX50" i="1" s="1"/>
  <c r="CC50" i="1"/>
  <c r="CK50" i="1"/>
  <c r="CM50" i="1" s="1"/>
  <c r="V50" i="1"/>
  <c r="HG50" i="1"/>
  <c r="HP50" i="1"/>
  <c r="HN50" i="1"/>
  <c r="GQ50" i="1"/>
  <c r="HH50" i="1"/>
  <c r="GX50" i="1"/>
  <c r="HI50" i="1"/>
  <c r="GI50" i="1"/>
  <c r="R50" i="1"/>
  <c r="AK50" i="1"/>
  <c r="W50" i="1"/>
  <c r="CS42" i="1"/>
  <c r="CR41" i="1" l="1"/>
  <c r="FO41" i="1" l="1"/>
  <c r="CL41" i="1"/>
  <c r="CJ41" i="1"/>
  <c r="CO41" i="1" s="1"/>
  <c r="CV41" i="1"/>
  <c r="AJ111" i="1" l="1"/>
  <c r="AF111" i="1" s="1"/>
  <c r="W111" i="1" s="1"/>
  <c r="X112" i="1" s="1"/>
  <c r="R82" i="1" l="1"/>
  <c r="HN82" i="1"/>
  <c r="GX82" i="1"/>
  <c r="HH82" i="1"/>
  <c r="HG82" i="1"/>
  <c r="GQ82" i="1"/>
  <c r="HP82" i="1"/>
  <c r="GI82" i="1"/>
  <c r="HI82" i="1"/>
  <c r="AK82" i="1"/>
  <c r="U69" i="1"/>
  <c r="T69" i="1"/>
  <c r="S69" i="1"/>
  <c r="U68" i="1"/>
  <c r="T68" i="1"/>
  <c r="S68" i="1"/>
  <c r="U61" i="1"/>
  <c r="T61" i="1"/>
  <c r="S61" i="1"/>
  <c r="U59" i="1"/>
  <c r="T59" i="1"/>
  <c r="S59" i="1"/>
  <c r="U99" i="1"/>
  <c r="T99" i="1"/>
  <c r="S99" i="1"/>
  <c r="U93" i="1"/>
  <c r="T93" i="1"/>
  <c r="S93" i="1"/>
  <c r="U60" i="1"/>
  <c r="T74" i="1"/>
  <c r="Y74" i="1"/>
  <c r="Y86" i="1"/>
  <c r="Y99" i="1"/>
  <c r="Y59" i="1"/>
  <c r="Y61" i="1"/>
  <c r="Y67" i="1"/>
  <c r="Y69" i="1"/>
  <c r="Y68" i="1"/>
  <c r="Y41" i="1"/>
  <c r="Y46" i="1"/>
  <c r="Q62" i="1" l="1"/>
  <c r="Y62" i="1" l="1"/>
  <c r="U67" i="1" l="1"/>
  <c r="U62" i="1"/>
  <c r="T67" i="1"/>
  <c r="T62" i="1"/>
  <c r="S67" i="1"/>
  <c r="S62" i="1"/>
  <c r="CJ33" i="1" l="1"/>
  <c r="CK33" i="1"/>
  <c r="CM33" i="1" s="1"/>
  <c r="BY39" i="1" l="1"/>
  <c r="CB39" i="1" l="1"/>
  <c r="BZ44" i="1"/>
  <c r="BZ38" i="1"/>
  <c r="BZ29" i="1"/>
  <c r="BZ48" i="1"/>
  <c r="BZ23" i="1"/>
  <c r="BZ19" i="1"/>
  <c r="BZ16" i="1"/>
  <c r="BZ12" i="1"/>
  <c r="BZ11" i="1"/>
  <c r="BZ15" i="1"/>
  <c r="BZ40" i="1"/>
  <c r="BZ14" i="1"/>
  <c r="BZ32" i="1"/>
  <c r="BZ35" i="1"/>
  <c r="BZ41" i="1"/>
  <c r="BZ37" i="1"/>
  <c r="BZ42" i="1"/>
  <c r="BZ51" i="1"/>
  <c r="BZ46" i="1"/>
  <c r="BZ24" i="1"/>
  <c r="BZ18" i="1"/>
  <c r="BZ21" i="1"/>
  <c r="BZ22" i="1"/>
  <c r="BZ27" i="1"/>
  <c r="BZ31" i="1"/>
  <c r="BZ47" i="1"/>
  <c r="BZ45" i="1"/>
  <c r="CJ47" i="1"/>
  <c r="CO47" i="1" s="1"/>
  <c r="CJ45" i="1"/>
  <c r="CK40" i="1"/>
  <c r="CM40" i="1" s="1"/>
  <c r="GT38" i="1"/>
  <c r="GF38" i="1" s="1"/>
  <c r="GT61" i="1"/>
  <c r="GF61" i="1" s="1"/>
  <c r="GT58" i="1"/>
  <c r="GT60" i="1"/>
  <c r="GF60" i="1" s="1"/>
  <c r="GT59" i="1"/>
  <c r="GT62" i="1"/>
  <c r="HE45" i="1"/>
  <c r="HE44" i="1"/>
  <c r="CR89" i="1"/>
  <c r="CL89" i="1" s="1"/>
  <c r="CR88" i="1"/>
  <c r="CL88" i="1" s="1"/>
  <c r="CR87" i="1"/>
  <c r="CL87" i="1" s="1"/>
  <c r="CR77" i="1"/>
  <c r="CL77" i="1" s="1"/>
  <c r="CR76" i="1"/>
  <c r="CL76" i="1" s="1"/>
  <c r="CR75" i="1"/>
  <c r="CL75" i="1" s="1"/>
  <c r="CR74" i="1"/>
  <c r="CL74" i="1" s="1"/>
  <c r="CR73" i="1"/>
  <c r="CL73" i="1" s="1"/>
  <c r="CR98" i="1"/>
  <c r="CL98" i="1" s="1"/>
  <c r="CR96" i="1"/>
  <c r="CL96" i="1" s="1"/>
  <c r="CR95" i="1"/>
  <c r="CL95" i="1" s="1"/>
  <c r="CR94" i="1"/>
  <c r="CL94" i="1" s="1"/>
  <c r="HU43" i="1"/>
  <c r="GF63" i="1"/>
  <c r="GF64" i="1"/>
  <c r="GM68" i="1"/>
  <c r="HE46" i="1"/>
  <c r="HE42" i="1"/>
  <c r="HE104" i="1" s="1"/>
  <c r="CS72" i="1"/>
  <c r="CR72" i="1"/>
  <c r="CL72" i="1" s="1"/>
  <c r="CS70" i="1"/>
  <c r="CR70" i="1"/>
  <c r="CS65" i="1"/>
  <c r="CR65" i="1"/>
  <c r="CL65" i="1" s="1"/>
  <c r="CS71" i="1"/>
  <c r="CR71" i="1"/>
  <c r="CL71" i="1" s="1"/>
  <c r="CS64" i="1"/>
  <c r="CR64" i="1"/>
  <c r="CL64" i="1" s="1"/>
  <c r="CS63" i="1"/>
  <c r="CR63" i="1"/>
  <c r="CL63" i="1" s="1"/>
  <c r="HF12" i="1"/>
  <c r="HF11" i="1"/>
  <c r="GZ2" i="1"/>
  <c r="HF2" i="1" s="1"/>
  <c r="HP72" i="1"/>
  <c r="HP70" i="1"/>
  <c r="HP65" i="1"/>
  <c r="HP71" i="1"/>
  <c r="HP64" i="1"/>
  <c r="HP63" i="1"/>
  <c r="GE71" i="1"/>
  <c r="DF23" i="1"/>
  <c r="CV23" i="1"/>
  <c r="BM85" i="1"/>
  <c r="BL85" i="1"/>
  <c r="Y85" i="1"/>
  <c r="CK13" i="1"/>
  <c r="CM13" i="1" s="1"/>
  <c r="CK34" i="1"/>
  <c r="CM34" i="1" s="1"/>
  <c r="GS60" i="1"/>
  <c r="GE60" i="1" s="1"/>
  <c r="HC60" i="1" s="1"/>
  <c r="HD108" i="1"/>
  <c r="GE70" i="1"/>
  <c r="HC70" i="1" s="1"/>
  <c r="GE72" i="1"/>
  <c r="GE65" i="1"/>
  <c r="GE63" i="1"/>
  <c r="GH63" i="1" s="1"/>
  <c r="GE64" i="1"/>
  <c r="HC64" i="1" s="1"/>
  <c r="GE66" i="1"/>
  <c r="HU66" i="1" s="1"/>
  <c r="GE68" i="1"/>
  <c r="HQ68" i="1" s="1"/>
  <c r="GE58" i="1"/>
  <c r="GH58" i="1" s="1"/>
  <c r="GH67" i="1"/>
  <c r="GE61" i="1"/>
  <c r="HQ61" i="1" s="1"/>
  <c r="GE62" i="1"/>
  <c r="GH62" i="1" s="1"/>
  <c r="HH71" i="1"/>
  <c r="HH70" i="1"/>
  <c r="HH72" i="1"/>
  <c r="HH65" i="1"/>
  <c r="HH63" i="1"/>
  <c r="HH64" i="1"/>
  <c r="HH44" i="1"/>
  <c r="HG71" i="1"/>
  <c r="HG70" i="1"/>
  <c r="HG72" i="1"/>
  <c r="HG65" i="1"/>
  <c r="HG63" i="1"/>
  <c r="HG64" i="1"/>
  <c r="HG44" i="1"/>
  <c r="GX70" i="1"/>
  <c r="GX72" i="1"/>
  <c r="GX65" i="1"/>
  <c r="GX63" i="1"/>
  <c r="GX64" i="1"/>
  <c r="GX44" i="1"/>
  <c r="GQ63" i="1"/>
  <c r="GQ44" i="1"/>
  <c r="GE59" i="1"/>
  <c r="HC59" i="1" s="1"/>
  <c r="CK27" i="1"/>
  <c r="CM27" i="1" s="1"/>
  <c r="BL51" i="1"/>
  <c r="BM51" i="1" s="1"/>
  <c r="BK39" i="1"/>
  <c r="BL39" i="1" s="1"/>
  <c r="CR38" i="1"/>
  <c r="BM3" i="1"/>
  <c r="BM10" i="1"/>
  <c r="BM6" i="1"/>
  <c r="BM8" i="1"/>
  <c r="BM4" i="1"/>
  <c r="BM5" i="1"/>
  <c r="BM9" i="1"/>
  <c r="BM7" i="1"/>
  <c r="BM17" i="1"/>
  <c r="BM21" i="1"/>
  <c r="BM20" i="1"/>
  <c r="BM14" i="1"/>
  <c r="BM15" i="1"/>
  <c r="BM29" i="1"/>
  <c r="BM18" i="1"/>
  <c r="BM19" i="1"/>
  <c r="BM22" i="1"/>
  <c r="BM11" i="1"/>
  <c r="BM12" i="1"/>
  <c r="BM16" i="1"/>
  <c r="BM33" i="1"/>
  <c r="BM13" i="1"/>
  <c r="BM28" i="1"/>
  <c r="BM25" i="1"/>
  <c r="BM34" i="1"/>
  <c r="BM27" i="1"/>
  <c r="BM23" i="1"/>
  <c r="BM40" i="1"/>
  <c r="BM35" i="1"/>
  <c r="BM32" i="1"/>
  <c r="BM30" i="1"/>
  <c r="BM26" i="1"/>
  <c r="BM38" i="1"/>
  <c r="BM36" i="1"/>
  <c r="BM37" i="1"/>
  <c r="BM31" i="1"/>
  <c r="BM24" i="1"/>
  <c r="BM44" i="1"/>
  <c r="BM45" i="1"/>
  <c r="BM48" i="1"/>
  <c r="BM43" i="1"/>
  <c r="BM42" i="1"/>
  <c r="BM46" i="1"/>
  <c r="BM41" i="1"/>
  <c r="BM47" i="1"/>
  <c r="BM55" i="1"/>
  <c r="BM57" i="1"/>
  <c r="BM52" i="1"/>
  <c r="BM56" i="1"/>
  <c r="BM49" i="1"/>
  <c r="BM53" i="1"/>
  <c r="BM54" i="1"/>
  <c r="BM102" i="1"/>
  <c r="BM99" i="1"/>
  <c r="BM59" i="1"/>
  <c r="BM62" i="1"/>
  <c r="BM61" i="1"/>
  <c r="BM69" i="1"/>
  <c r="BM64" i="1"/>
  <c r="BM63" i="1"/>
  <c r="BM65" i="1"/>
  <c r="BM72" i="1"/>
  <c r="BM70" i="1"/>
  <c r="BM67" i="1"/>
  <c r="BM58" i="1"/>
  <c r="BM86" i="1"/>
  <c r="BM68" i="1"/>
  <c r="BM71" i="1"/>
  <c r="BM66" i="1"/>
  <c r="BM79" i="1"/>
  <c r="BM60" i="1"/>
  <c r="BM96" i="1"/>
  <c r="BM95" i="1"/>
  <c r="BM98" i="1"/>
  <c r="BM94" i="1"/>
  <c r="BM75" i="1"/>
  <c r="BM73" i="1"/>
  <c r="BM76" i="1"/>
  <c r="BM77" i="1"/>
  <c r="BM89" i="1"/>
  <c r="BM88" i="1"/>
  <c r="BM87" i="1"/>
  <c r="BM93" i="1"/>
  <c r="BM74" i="1"/>
  <c r="BM101" i="1"/>
  <c r="BM2" i="1"/>
  <c r="BL2" i="1"/>
  <c r="BL3" i="1"/>
  <c r="BL10" i="1"/>
  <c r="BL6" i="1"/>
  <c r="BL8" i="1"/>
  <c r="BL4" i="1"/>
  <c r="BL5" i="1"/>
  <c r="BL9" i="1"/>
  <c r="BL7" i="1"/>
  <c r="BL17" i="1"/>
  <c r="BL21" i="1"/>
  <c r="BL20" i="1"/>
  <c r="BL14" i="1"/>
  <c r="BN14" i="1" s="1"/>
  <c r="BL15" i="1"/>
  <c r="BN15" i="1" s="1"/>
  <c r="BL29" i="1"/>
  <c r="BN29" i="1" s="1"/>
  <c r="BL18" i="1"/>
  <c r="BN18" i="1" s="1"/>
  <c r="BL19" i="1"/>
  <c r="BN19" i="1" s="1"/>
  <c r="BL22" i="1"/>
  <c r="BN22" i="1" s="1"/>
  <c r="BL11" i="1"/>
  <c r="BN11" i="1" s="1"/>
  <c r="BL12" i="1"/>
  <c r="BN12" i="1" s="1"/>
  <c r="BL16" i="1"/>
  <c r="BN16" i="1" s="1"/>
  <c r="BL33" i="1"/>
  <c r="BN33" i="1" s="1"/>
  <c r="BL13" i="1"/>
  <c r="BL28" i="1"/>
  <c r="BL25" i="1"/>
  <c r="BL34" i="1"/>
  <c r="BN34" i="1" s="1"/>
  <c r="BL27" i="1"/>
  <c r="BL23" i="1"/>
  <c r="BN23" i="1" s="1"/>
  <c r="BL40" i="1"/>
  <c r="BL35" i="1"/>
  <c r="BL32" i="1"/>
  <c r="BN32" i="1" s="1"/>
  <c r="BL30" i="1"/>
  <c r="BN30" i="1" s="1"/>
  <c r="BL26" i="1"/>
  <c r="BN26" i="1" s="1"/>
  <c r="BL38" i="1"/>
  <c r="BL36" i="1"/>
  <c r="BN36" i="1" s="1"/>
  <c r="BL37" i="1"/>
  <c r="BL31" i="1"/>
  <c r="BN31" i="1" s="1"/>
  <c r="BL24" i="1"/>
  <c r="BL44" i="1"/>
  <c r="BL45" i="1"/>
  <c r="BL48" i="1"/>
  <c r="BL43" i="1"/>
  <c r="BL42" i="1"/>
  <c r="BL46" i="1"/>
  <c r="BL41" i="1"/>
  <c r="BL47" i="1"/>
  <c r="BL55" i="1"/>
  <c r="BL57" i="1"/>
  <c r="BL52" i="1"/>
  <c r="BL56" i="1"/>
  <c r="BL49" i="1"/>
  <c r="BL53" i="1"/>
  <c r="BL54" i="1"/>
  <c r="BL102" i="1"/>
  <c r="BL99" i="1"/>
  <c r="BL59" i="1"/>
  <c r="BL62" i="1"/>
  <c r="BL61" i="1"/>
  <c r="BL69" i="1"/>
  <c r="BL64" i="1"/>
  <c r="BL63" i="1"/>
  <c r="BL65" i="1"/>
  <c r="BL72" i="1"/>
  <c r="BL70" i="1"/>
  <c r="BL67" i="1"/>
  <c r="BL58" i="1"/>
  <c r="BL86" i="1"/>
  <c r="BL68" i="1"/>
  <c r="BL71" i="1"/>
  <c r="BL66" i="1"/>
  <c r="BL79" i="1"/>
  <c r="BL60" i="1"/>
  <c r="BL96" i="1"/>
  <c r="BL95" i="1"/>
  <c r="BL98" i="1"/>
  <c r="BL94" i="1"/>
  <c r="BL75" i="1"/>
  <c r="BL73" i="1"/>
  <c r="BL76" i="1"/>
  <c r="BL77" i="1"/>
  <c r="BL89" i="1"/>
  <c r="BL88" i="1"/>
  <c r="BL87" i="1"/>
  <c r="BL93" i="1"/>
  <c r="BL74" i="1"/>
  <c r="BL101" i="1"/>
  <c r="GE55" i="1"/>
  <c r="HQ55" i="1" s="1"/>
  <c r="I133" i="1"/>
  <c r="H133" i="1"/>
  <c r="F133" i="1"/>
  <c r="E133" i="1"/>
  <c r="D133" i="1"/>
  <c r="C133" i="1"/>
  <c r="I131" i="1"/>
  <c r="H131" i="1"/>
  <c r="F131" i="1"/>
  <c r="E131" i="1"/>
  <c r="D131" i="1"/>
  <c r="C131" i="1"/>
  <c r="I130" i="1"/>
  <c r="H130" i="1"/>
  <c r="F130" i="1"/>
  <c r="E130" i="1"/>
  <c r="D130" i="1"/>
  <c r="C130" i="1"/>
  <c r="I129" i="1"/>
  <c r="H129" i="1"/>
  <c r="F129" i="1"/>
  <c r="E129" i="1"/>
  <c r="D129" i="1"/>
  <c r="C129" i="1"/>
  <c r="I128" i="1"/>
  <c r="H128" i="1"/>
  <c r="F128" i="1"/>
  <c r="E128" i="1"/>
  <c r="D128" i="1"/>
  <c r="C128" i="1"/>
  <c r="I127" i="1"/>
  <c r="I124" i="1"/>
  <c r="I125" i="1"/>
  <c r="H127" i="1"/>
  <c r="G127" i="1"/>
  <c r="F127" i="1"/>
  <c r="E127" i="1"/>
  <c r="D127" i="1"/>
  <c r="C127" i="1"/>
  <c r="H125" i="1"/>
  <c r="H123" i="1"/>
  <c r="H124" i="1"/>
  <c r="F125" i="1"/>
  <c r="E125" i="1"/>
  <c r="D125" i="1"/>
  <c r="C125" i="1"/>
  <c r="F124" i="1"/>
  <c r="E124" i="1"/>
  <c r="D124" i="1"/>
  <c r="C124" i="1"/>
  <c r="F123" i="1"/>
  <c r="E123" i="1"/>
  <c r="D123" i="1"/>
  <c r="O139" i="1"/>
  <c r="F215" i="1"/>
  <c r="E215" i="1"/>
  <c r="D215" i="1"/>
  <c r="C215" i="1"/>
  <c r="B215" i="1"/>
  <c r="O138" i="1"/>
  <c r="F214" i="1"/>
  <c r="E214" i="1"/>
  <c r="D214" i="1"/>
  <c r="C214" i="1"/>
  <c r="B214" i="1"/>
  <c r="O137" i="1"/>
  <c r="F213" i="1"/>
  <c r="E213" i="1"/>
  <c r="D213" i="1"/>
  <c r="C213" i="1"/>
  <c r="B213" i="1"/>
  <c r="O136" i="1"/>
  <c r="F212" i="1"/>
  <c r="E212" i="1"/>
  <c r="E210" i="1"/>
  <c r="E211" i="1"/>
  <c r="D212" i="1"/>
  <c r="C212" i="1"/>
  <c r="B212" i="1"/>
  <c r="O135" i="1"/>
  <c r="F211" i="1"/>
  <c r="D211" i="1"/>
  <c r="C211" i="1"/>
  <c r="C210" i="1"/>
  <c r="B211" i="1"/>
  <c r="F210" i="1"/>
  <c r="D210" i="1"/>
  <c r="B210" i="1"/>
  <c r="B206" i="1"/>
  <c r="B205" i="1"/>
  <c r="B204" i="1"/>
  <c r="B203" i="1"/>
  <c r="B202" i="1"/>
  <c r="B201" i="1"/>
  <c r="HG118" i="1"/>
  <c r="B200" i="1"/>
  <c r="HE117" i="1"/>
  <c r="HD117" i="1"/>
  <c r="B199" i="1"/>
  <c r="HG116" i="1"/>
  <c r="B198" i="1"/>
  <c r="HG115" i="1"/>
  <c r="HH114" i="1" s="1"/>
  <c r="B197" i="1"/>
  <c r="HE114" i="1"/>
  <c r="HD114" i="1"/>
  <c r="HG113" i="1"/>
  <c r="HG112" i="1"/>
  <c r="HE111" i="1"/>
  <c r="HD111" i="1"/>
  <c r="CI109" i="1"/>
  <c r="HT108" i="1"/>
  <c r="HS108" i="1"/>
  <c r="HR108" i="1"/>
  <c r="HO108" i="1"/>
  <c r="HL108" i="1"/>
  <c r="HB108" i="1"/>
  <c r="GV108" i="1"/>
  <c r="GU108" i="1"/>
  <c r="AE108" i="1"/>
  <c r="HT104" i="1"/>
  <c r="GV104" i="1"/>
  <c r="GU104" i="1"/>
  <c r="IZ101" i="1"/>
  <c r="CS101" i="1"/>
  <c r="CR101" i="1"/>
  <c r="BY101" i="1"/>
  <c r="Y101" i="1"/>
  <c r="IZ74" i="1"/>
  <c r="IZ93" i="1"/>
  <c r="Y93" i="1"/>
  <c r="IZ71" i="1"/>
  <c r="HN71" i="1"/>
  <c r="HF71" i="1"/>
  <c r="HI71" i="1" s="1"/>
  <c r="IZ87" i="1"/>
  <c r="IZ88" i="1"/>
  <c r="IZ89" i="1"/>
  <c r="IZ77" i="1"/>
  <c r="IZ76" i="1"/>
  <c r="IZ73" i="1"/>
  <c r="IZ75" i="1"/>
  <c r="IZ94" i="1"/>
  <c r="IZ98" i="1"/>
  <c r="IZ95" i="1"/>
  <c r="IZ96" i="1"/>
  <c r="IZ70" i="1"/>
  <c r="HN70" i="1"/>
  <c r="HF70" i="1"/>
  <c r="HI70" i="1" s="1"/>
  <c r="IZ72" i="1"/>
  <c r="HN72" i="1"/>
  <c r="HF72" i="1"/>
  <c r="HI72" i="1" s="1"/>
  <c r="IZ65" i="1"/>
  <c r="HN65" i="1"/>
  <c r="HF65" i="1"/>
  <c r="HI65" i="1" s="1"/>
  <c r="IZ63" i="1"/>
  <c r="HN63" i="1"/>
  <c r="HF63" i="1"/>
  <c r="HI63" i="1" s="1"/>
  <c r="IZ64" i="1"/>
  <c r="HN64" i="1"/>
  <c r="HF64" i="1"/>
  <c r="HI64" i="1" s="1"/>
  <c r="HF68" i="1"/>
  <c r="GW68" i="1"/>
  <c r="GR68" i="1"/>
  <c r="GL68" i="1"/>
  <c r="IZ61" i="1"/>
  <c r="HF61" i="1"/>
  <c r="GR61" i="1"/>
  <c r="GL61" i="1"/>
  <c r="HF62" i="1"/>
  <c r="GR62" i="1"/>
  <c r="GL62" i="1"/>
  <c r="HF59" i="1"/>
  <c r="GL59" i="1"/>
  <c r="AP59" i="1"/>
  <c r="AO59" i="1"/>
  <c r="AN59" i="1"/>
  <c r="AM59" i="1"/>
  <c r="AL59" i="1"/>
  <c r="IZ99" i="1"/>
  <c r="HF58" i="1"/>
  <c r="GR58" i="1"/>
  <c r="GL58" i="1"/>
  <c r="R58" i="1"/>
  <c r="Y58" i="1"/>
  <c r="U58" i="1"/>
  <c r="T58" i="1"/>
  <c r="S58" i="1"/>
  <c r="HF60" i="1"/>
  <c r="GR60" i="1"/>
  <c r="GL60" i="1"/>
  <c r="Y60" i="1"/>
  <c r="Y79" i="1"/>
  <c r="HA66" i="1"/>
  <c r="GF66" i="1" s="1"/>
  <c r="GW66" i="1"/>
  <c r="GR66" i="1"/>
  <c r="GK66" i="1"/>
  <c r="BY66" i="1"/>
  <c r="AS66" i="1"/>
  <c r="AP66" i="1"/>
  <c r="AO66" i="1"/>
  <c r="V66" i="1"/>
  <c r="Y66" i="1"/>
  <c r="U66" i="1"/>
  <c r="T66" i="1"/>
  <c r="S66" i="1"/>
  <c r="HF67" i="1"/>
  <c r="GT67" i="1"/>
  <c r="GF67" i="1" s="1"/>
  <c r="GR67" i="1"/>
  <c r="GL67" i="1"/>
  <c r="BY67" i="1"/>
  <c r="R67" i="1"/>
  <c r="CS102" i="1"/>
  <c r="CR102" i="1"/>
  <c r="CL102" i="1" s="1"/>
  <c r="BY102" i="1"/>
  <c r="AS102" i="1"/>
  <c r="Y102" i="1"/>
  <c r="U102" i="1"/>
  <c r="T102" i="1"/>
  <c r="P102" i="1"/>
  <c r="S102" i="1" s="1"/>
  <c r="HF54" i="1"/>
  <c r="GT54" i="1"/>
  <c r="GF54" i="1" s="1"/>
  <c r="GR54" i="1"/>
  <c r="GL54" i="1"/>
  <c r="GE54" i="1"/>
  <c r="BY54" i="1"/>
  <c r="AS54" i="1"/>
  <c r="Y54" i="1"/>
  <c r="U54" i="1"/>
  <c r="T54" i="1"/>
  <c r="P54" i="1"/>
  <c r="HA53" i="1"/>
  <c r="GF53" i="1" s="1"/>
  <c r="GR53" i="1"/>
  <c r="GL53" i="1"/>
  <c r="GE53" i="1"/>
  <c r="HC53" i="1" s="1"/>
  <c r="BY53" i="1"/>
  <c r="Y53" i="1"/>
  <c r="U53" i="1"/>
  <c r="T53" i="1"/>
  <c r="S53" i="1"/>
  <c r="HF49" i="1"/>
  <c r="GT49" i="1"/>
  <c r="GF49" i="1" s="1"/>
  <c r="GO49" i="1"/>
  <c r="GO108" i="1" s="1"/>
  <c r="GJ49" i="1"/>
  <c r="GL49" i="1" s="1"/>
  <c r="CS49" i="1"/>
  <c r="BY49" i="1"/>
  <c r="AK49" i="1"/>
  <c r="Y49" i="1"/>
  <c r="S49" i="1"/>
  <c r="R49" i="1"/>
  <c r="Q49" i="1"/>
  <c r="U49" i="1" s="1"/>
  <c r="HA56" i="1"/>
  <c r="HF56" i="1" s="1"/>
  <c r="GT56" i="1"/>
  <c r="GS56" i="1"/>
  <c r="GE56" i="1" s="1"/>
  <c r="GR56" i="1"/>
  <c r="GL56" i="1"/>
  <c r="BY56" i="1"/>
  <c r="Y56" i="1"/>
  <c r="S56" i="1"/>
  <c r="Q56" i="1"/>
  <c r="HF52" i="1"/>
  <c r="GT52" i="1"/>
  <c r="GF52" i="1" s="1"/>
  <c r="GS52" i="1"/>
  <c r="GE52" i="1" s="1"/>
  <c r="HQ52" i="1" s="1"/>
  <c r="GR52" i="1"/>
  <c r="GL52" i="1"/>
  <c r="CS52" i="1"/>
  <c r="CR52" i="1"/>
  <c r="CL52" i="1" s="1"/>
  <c r="BY52" i="1"/>
  <c r="Y52" i="1"/>
  <c r="U52" i="1"/>
  <c r="T52" i="1"/>
  <c r="S52" i="1"/>
  <c r="HA57" i="1"/>
  <c r="GW57" i="1"/>
  <c r="GR57" i="1"/>
  <c r="GL57" i="1"/>
  <c r="GE57" i="1"/>
  <c r="HQ57" i="1" s="1"/>
  <c r="BY57" i="1"/>
  <c r="GQ57" i="1"/>
  <c r="Y57" i="1"/>
  <c r="U57" i="1"/>
  <c r="T57" i="1"/>
  <c r="S57" i="1"/>
  <c r="HA55" i="1"/>
  <c r="GT55" i="1"/>
  <c r="GR55" i="1"/>
  <c r="GL55" i="1"/>
  <c r="BY55" i="1"/>
  <c r="AM55" i="1"/>
  <c r="Y55" i="1"/>
  <c r="U55" i="1"/>
  <c r="T55" i="1"/>
  <c r="S55" i="1"/>
  <c r="GZ47" i="1"/>
  <c r="HF47" i="1" s="1"/>
  <c r="GT47" i="1"/>
  <c r="GR47" i="1"/>
  <c r="GL47" i="1"/>
  <c r="CS47" i="1"/>
  <c r="BY47" i="1"/>
  <c r="AS47" i="1"/>
  <c r="AF47" i="1"/>
  <c r="AD47" i="1" s="1"/>
  <c r="Y47" i="1"/>
  <c r="U47" i="1"/>
  <c r="T47" i="1"/>
  <c r="P47" i="1"/>
  <c r="HF41" i="1"/>
  <c r="GT41" i="1"/>
  <c r="GF41" i="1" s="1"/>
  <c r="GR41" i="1"/>
  <c r="GR13" i="1"/>
  <c r="GR17" i="1"/>
  <c r="GR25" i="1"/>
  <c r="GR36" i="1"/>
  <c r="GR38" i="1"/>
  <c r="GR40" i="1"/>
  <c r="GR20" i="1"/>
  <c r="GR27" i="1"/>
  <c r="GR35" i="1"/>
  <c r="GR31" i="1"/>
  <c r="GR34" i="1"/>
  <c r="GR22" i="1"/>
  <c r="GR21" i="1"/>
  <c r="GR18" i="1"/>
  <c r="GR24" i="1"/>
  <c r="GR48" i="1"/>
  <c r="GR43" i="1"/>
  <c r="GR37" i="1"/>
  <c r="GR42" i="1"/>
  <c r="GR32" i="1"/>
  <c r="GR14" i="1"/>
  <c r="GR39" i="1"/>
  <c r="GR15" i="1"/>
  <c r="GR11" i="1"/>
  <c r="GR12" i="1"/>
  <c r="GR16" i="1"/>
  <c r="GR19" i="1"/>
  <c r="GR23" i="1"/>
  <c r="GR51" i="1"/>
  <c r="GR29" i="1"/>
  <c r="GR45" i="1"/>
  <c r="GR46" i="1"/>
  <c r="GR33" i="1"/>
  <c r="GR30" i="1"/>
  <c r="GR26" i="1"/>
  <c r="GR28" i="1"/>
  <c r="GL41" i="1"/>
  <c r="GE41" i="1"/>
  <c r="CS41" i="1"/>
  <c r="BY41" i="1"/>
  <c r="AN41" i="1"/>
  <c r="U41" i="1"/>
  <c r="T41" i="1"/>
  <c r="S41" i="1"/>
  <c r="HF46" i="1"/>
  <c r="GT46" i="1"/>
  <c r="GF46" i="1" s="1"/>
  <c r="GL46" i="1"/>
  <c r="GE46" i="1"/>
  <c r="CS46" i="1"/>
  <c r="BY46" i="1"/>
  <c r="AO46" i="1"/>
  <c r="U46" i="1"/>
  <c r="T46" i="1"/>
  <c r="S46" i="1"/>
  <c r="HF42" i="1"/>
  <c r="GT42" i="1"/>
  <c r="GL42" i="1"/>
  <c r="GE42" i="1"/>
  <c r="BY42" i="1"/>
  <c r="AS42" i="1"/>
  <c r="GQ42" i="1"/>
  <c r="Y42" i="1"/>
  <c r="S42" i="1"/>
  <c r="Q42" i="1"/>
  <c r="T42" i="1" s="1"/>
  <c r="HF43" i="1"/>
  <c r="GW43" i="1"/>
  <c r="GL43" i="1"/>
  <c r="GE43" i="1"/>
  <c r="CS43" i="1"/>
  <c r="CR43" i="1"/>
  <c r="CL43" i="1" s="1"/>
  <c r="BY43" i="1"/>
  <c r="HG43" i="1"/>
  <c r="Y43" i="1"/>
  <c r="U43" i="1"/>
  <c r="T43" i="1"/>
  <c r="S43" i="1"/>
  <c r="HF48" i="1"/>
  <c r="GT48" i="1"/>
  <c r="GL48" i="1"/>
  <c r="GE48" i="1"/>
  <c r="CS48" i="1"/>
  <c r="CR48" i="1"/>
  <c r="CL48" i="1" s="1"/>
  <c r="BY48" i="1"/>
  <c r="W48" i="1"/>
  <c r="Y48" i="1"/>
  <c r="S48" i="1"/>
  <c r="R48" i="1"/>
  <c r="Q48" i="1"/>
  <c r="HF45" i="1"/>
  <c r="GT45" i="1"/>
  <c r="GL45" i="1"/>
  <c r="GE45" i="1"/>
  <c r="HC45" i="1" s="1"/>
  <c r="CS45" i="1"/>
  <c r="BY45" i="1"/>
  <c r="GX45" i="1"/>
  <c r="Y45" i="1"/>
  <c r="U45" i="1"/>
  <c r="T45" i="1"/>
  <c r="S45" i="1"/>
  <c r="HP44" i="1"/>
  <c r="HN44" i="1"/>
  <c r="HF44" i="1"/>
  <c r="HI44" i="1" s="1"/>
  <c r="GT44" i="1"/>
  <c r="GF44" i="1" s="1"/>
  <c r="GL44" i="1"/>
  <c r="GE44" i="1"/>
  <c r="HC44" i="1" s="1"/>
  <c r="BY44" i="1"/>
  <c r="AO44" i="1"/>
  <c r="AN44" i="1"/>
  <c r="Y44" i="1"/>
  <c r="W44" i="1"/>
  <c r="V44" i="1"/>
  <c r="U44" i="1"/>
  <c r="T44" i="1"/>
  <c r="S44" i="1"/>
  <c r="R44" i="1"/>
  <c r="HF24" i="1"/>
  <c r="GT24" i="1"/>
  <c r="GL24" i="1"/>
  <c r="GE24" i="1"/>
  <c r="GM24" i="1" s="1"/>
  <c r="CS24" i="1"/>
  <c r="CN24" i="1"/>
  <c r="BY24" i="1"/>
  <c r="AS24" i="1"/>
  <c r="AP24" i="1"/>
  <c r="AO24" i="1"/>
  <c r="AN24" i="1"/>
  <c r="AM24" i="1"/>
  <c r="HF31" i="1"/>
  <c r="GT31" i="1"/>
  <c r="GL31" i="1"/>
  <c r="GE31" i="1"/>
  <c r="GM31" i="1" s="1"/>
  <c r="CS31" i="1"/>
  <c r="CN31" i="1"/>
  <c r="BY31" i="1"/>
  <c r="AS31" i="1"/>
  <c r="AP31" i="1"/>
  <c r="AO31" i="1"/>
  <c r="AK31" i="1"/>
  <c r="V31" i="1"/>
  <c r="T31" i="1"/>
  <c r="S31" i="1"/>
  <c r="R31" i="1"/>
  <c r="HA37" i="1"/>
  <c r="GT37" i="1"/>
  <c r="GL37" i="1"/>
  <c r="CS37" i="1"/>
  <c r="CN37" i="1"/>
  <c r="BY37" i="1"/>
  <c r="AS37" i="1"/>
  <c r="Y37" i="1"/>
  <c r="U37" i="1"/>
  <c r="T37" i="1"/>
  <c r="P37" i="1"/>
  <c r="S37" i="1" s="1"/>
  <c r="HA36" i="1"/>
  <c r="GT36" i="1"/>
  <c r="GL36" i="1"/>
  <c r="GE36" i="1"/>
  <c r="CS36" i="1"/>
  <c r="CR36" i="1"/>
  <c r="CN36" i="1"/>
  <c r="CK36" i="1"/>
  <c r="CM36" i="1" s="1"/>
  <c r="BY36" i="1"/>
  <c r="V36" i="1"/>
  <c r="U36" i="1"/>
  <c r="P36" i="1"/>
  <c r="O36" i="1"/>
  <c r="T36" i="1" s="1"/>
  <c r="HF38" i="1"/>
  <c r="GS38" i="1"/>
  <c r="GL38" i="1"/>
  <c r="CS38" i="1"/>
  <c r="CN38" i="1"/>
  <c r="BY38" i="1"/>
  <c r="U38" i="1"/>
  <c r="AF38" i="1"/>
  <c r="AD38" i="1" s="1"/>
  <c r="R38" i="1"/>
  <c r="O38" i="1"/>
  <c r="AS38" i="1" s="1"/>
  <c r="HF39" i="1"/>
  <c r="GT39" i="1"/>
  <c r="GF39" i="1" s="1"/>
  <c r="GL39" i="1"/>
  <c r="GE39" i="1"/>
  <c r="CN39" i="1"/>
  <c r="AS39" i="1"/>
  <c r="AK39" i="1"/>
  <c r="Y39" i="1"/>
  <c r="X39" i="1"/>
  <c r="U39" i="1"/>
  <c r="T39" i="1"/>
  <c r="P39" i="1"/>
  <c r="S39" i="1" s="1"/>
  <c r="HF51" i="1"/>
  <c r="GT51" i="1"/>
  <c r="GF51" i="1" s="1"/>
  <c r="GL51" i="1"/>
  <c r="CS51" i="1"/>
  <c r="CR51" i="1"/>
  <c r="CL51" i="1" s="1"/>
  <c r="CN51" i="1"/>
  <c r="BY51" i="1"/>
  <c r="AS51" i="1"/>
  <c r="HP51" i="1"/>
  <c r="Y51" i="1"/>
  <c r="U51" i="1"/>
  <c r="T51" i="1"/>
  <c r="P51" i="1"/>
  <c r="HF26" i="1"/>
  <c r="GT26" i="1"/>
  <c r="GL26" i="1"/>
  <c r="GE26" i="1"/>
  <c r="GM26" i="1" s="1"/>
  <c r="CN26" i="1"/>
  <c r="CK26" i="1"/>
  <c r="CM26" i="1" s="1"/>
  <c r="CJ26" i="1"/>
  <c r="BY26" i="1"/>
  <c r="BI26" i="1"/>
  <c r="AS26" i="1"/>
  <c r="HF30" i="1"/>
  <c r="GT30" i="1"/>
  <c r="GL30" i="1"/>
  <c r="GE30" i="1"/>
  <c r="GM30" i="1" s="1"/>
  <c r="CN30" i="1"/>
  <c r="CK30" i="1"/>
  <c r="CM30" i="1" s="1"/>
  <c r="CJ30" i="1"/>
  <c r="BY30" i="1"/>
  <c r="BI30" i="1"/>
  <c r="AS30" i="1"/>
  <c r="HP30" i="1"/>
  <c r="T30" i="1"/>
  <c r="S30" i="1"/>
  <c r="HF32" i="1"/>
  <c r="GT32" i="1"/>
  <c r="GL32" i="1"/>
  <c r="GE32" i="1"/>
  <c r="GM32" i="1" s="1"/>
  <c r="CV32" i="1"/>
  <c r="CN32" i="1"/>
  <c r="CK32" i="1"/>
  <c r="CM32" i="1" s="1"/>
  <c r="CJ32" i="1"/>
  <c r="BY32" i="1"/>
  <c r="BI32" i="1"/>
  <c r="AS32" i="1"/>
  <c r="HN32" i="1"/>
  <c r="Y32" i="1"/>
  <c r="U32" i="1"/>
  <c r="T32" i="1"/>
  <c r="S32" i="1"/>
  <c r="HF35" i="1"/>
  <c r="GT35" i="1"/>
  <c r="GL35" i="1"/>
  <c r="GE35" i="1"/>
  <c r="CS35" i="1"/>
  <c r="CN35" i="1"/>
  <c r="AS35" i="1"/>
  <c r="GQ35" i="1"/>
  <c r="Y35" i="1"/>
  <c r="U35" i="1"/>
  <c r="T35" i="1"/>
  <c r="S35" i="1"/>
  <c r="HA40" i="1"/>
  <c r="HF40" i="1" s="1"/>
  <c r="GT40" i="1"/>
  <c r="GS40" i="1"/>
  <c r="GE40" i="1" s="1"/>
  <c r="GL40" i="1"/>
  <c r="CS40" i="1"/>
  <c r="CN40" i="1"/>
  <c r="CB40" i="1"/>
  <c r="CC40" i="1" s="1"/>
  <c r="AS40" i="1"/>
  <c r="Y40" i="1"/>
  <c r="U40" i="1"/>
  <c r="T40" i="1"/>
  <c r="P40" i="1"/>
  <c r="S40" i="1" s="1"/>
  <c r="HF23" i="1"/>
  <c r="GT23" i="1"/>
  <c r="GL23" i="1"/>
  <c r="GE23" i="1"/>
  <c r="GM23" i="1" s="1"/>
  <c r="CS23" i="1"/>
  <c r="CK23" i="1"/>
  <c r="CM23" i="1" s="1"/>
  <c r="CJ23" i="1"/>
  <c r="BY23" i="1"/>
  <c r="BI23" i="1"/>
  <c r="AS23" i="1"/>
  <c r="Y23" i="1"/>
  <c r="U23" i="1"/>
  <c r="T23" i="1"/>
  <c r="P23" i="1"/>
  <c r="HF27" i="1"/>
  <c r="GT27" i="1"/>
  <c r="GL27" i="1"/>
  <c r="GE27" i="1"/>
  <c r="GM27" i="1" s="1"/>
  <c r="CS27" i="1"/>
  <c r="CN27" i="1"/>
  <c r="CJ27" i="1"/>
  <c r="BY27" i="1"/>
  <c r="BI27" i="1"/>
  <c r="AS27" i="1"/>
  <c r="HN27" i="1"/>
  <c r="Y27" i="1"/>
  <c r="U27" i="1"/>
  <c r="T27" i="1"/>
  <c r="P27" i="1"/>
  <c r="S27" i="1" s="1"/>
  <c r="HF34" i="1"/>
  <c r="HG34" i="1"/>
  <c r="GT34" i="1"/>
  <c r="GL34" i="1"/>
  <c r="GE34" i="1"/>
  <c r="GM34" i="1" s="1"/>
  <c r="CS34" i="1"/>
  <c r="CN34" i="1"/>
  <c r="BY34" i="1"/>
  <c r="BI34" i="1"/>
  <c r="U34" i="1"/>
  <c r="R34" i="1"/>
  <c r="O34" i="1"/>
  <c r="Y34" i="1" s="1"/>
  <c r="HF25" i="1"/>
  <c r="GT25" i="1"/>
  <c r="GL25" i="1"/>
  <c r="GE25" i="1"/>
  <c r="CS25" i="1"/>
  <c r="CN25" i="1"/>
  <c r="CJ25" i="1"/>
  <c r="BY25" i="1"/>
  <c r="BI25" i="1"/>
  <c r="AS25" i="1"/>
  <c r="AI25" i="1"/>
  <c r="AI108" i="1" s="1"/>
  <c r="GQ25" i="1"/>
  <c r="Y25" i="1"/>
  <c r="U25" i="1"/>
  <c r="T25" i="1"/>
  <c r="P25" i="1"/>
  <c r="HF28" i="1"/>
  <c r="GT28" i="1"/>
  <c r="GL28" i="1"/>
  <c r="GE28" i="1"/>
  <c r="GM28" i="1" s="1"/>
  <c r="CS28" i="1"/>
  <c r="CN28" i="1"/>
  <c r="CJ28" i="1"/>
  <c r="BY28" i="1"/>
  <c r="BI28" i="1"/>
  <c r="AS28" i="1"/>
  <c r="GQ28" i="1"/>
  <c r="Y28" i="1"/>
  <c r="U28" i="1"/>
  <c r="T28" i="1"/>
  <c r="S28" i="1"/>
  <c r="HF13" i="1"/>
  <c r="GT13" i="1"/>
  <c r="GL13" i="1"/>
  <c r="CS13" i="1"/>
  <c r="CN13" i="1"/>
  <c r="CJ13" i="1"/>
  <c r="BY13" i="1"/>
  <c r="AS13" i="1"/>
  <c r="Y13" i="1"/>
  <c r="U13" i="1"/>
  <c r="T13" i="1"/>
  <c r="S13" i="1"/>
  <c r="HF33" i="1"/>
  <c r="GT33" i="1"/>
  <c r="GF33" i="1" s="1"/>
  <c r="GL33" i="1"/>
  <c r="GE33" i="1"/>
  <c r="GM33" i="1" s="1"/>
  <c r="CS33" i="1"/>
  <c r="CN33" i="1"/>
  <c r="BY33" i="1"/>
  <c r="BI33" i="1"/>
  <c r="AS33" i="1"/>
  <c r="HP33" i="1"/>
  <c r="Y33" i="1"/>
  <c r="U33" i="1"/>
  <c r="T33" i="1"/>
  <c r="S33" i="1"/>
  <c r="HF16" i="1"/>
  <c r="HP16" i="1"/>
  <c r="GT16" i="1"/>
  <c r="GW16" i="1" s="1"/>
  <c r="GL16" i="1"/>
  <c r="GM16" i="1"/>
  <c r="DF16" i="1"/>
  <c r="CN16" i="1"/>
  <c r="CK16" i="1"/>
  <c r="CM16" i="1" s="1"/>
  <c r="CJ16" i="1"/>
  <c r="BY16" i="1"/>
  <c r="AS16" i="1"/>
  <c r="Y16" i="1"/>
  <c r="U16" i="1"/>
  <c r="T16" i="1"/>
  <c r="P16" i="1"/>
  <c r="GT12" i="1"/>
  <c r="GL12" i="1"/>
  <c r="GM12" i="1"/>
  <c r="DF12" i="1"/>
  <c r="CN12" i="1"/>
  <c r="CK12" i="1"/>
  <c r="CM12" i="1" s="1"/>
  <c r="CJ12" i="1"/>
  <c r="BY12" i="1"/>
  <c r="GT11" i="1"/>
  <c r="GF11" i="1" s="1"/>
  <c r="GH11" i="1" s="1"/>
  <c r="GL11" i="1"/>
  <c r="DF11" i="1"/>
  <c r="CN11" i="1"/>
  <c r="CK11" i="1"/>
  <c r="CM11" i="1" s="1"/>
  <c r="CK7" i="1"/>
  <c r="CM7" i="1" s="1"/>
  <c r="CJ11" i="1"/>
  <c r="BY11" i="1"/>
  <c r="AS11" i="1"/>
  <c r="Y11" i="1"/>
  <c r="U11" i="1"/>
  <c r="T11" i="1"/>
  <c r="P11" i="1"/>
  <c r="HF22" i="1"/>
  <c r="GT22" i="1"/>
  <c r="GL22" i="1"/>
  <c r="GM22" i="1"/>
  <c r="CN22" i="1"/>
  <c r="CK22" i="1"/>
  <c r="CM22" i="1" s="1"/>
  <c r="CJ22" i="1"/>
  <c r="BY22" i="1"/>
  <c r="AS22" i="1"/>
  <c r="AP22" i="1"/>
  <c r="Y22" i="1"/>
  <c r="U22" i="1"/>
  <c r="T22" i="1"/>
  <c r="S22" i="1"/>
  <c r="GZ19" i="1"/>
  <c r="HF19" i="1" s="1"/>
  <c r="GT19" i="1"/>
  <c r="GL19" i="1"/>
  <c r="CS19" i="1"/>
  <c r="CN19" i="1"/>
  <c r="CK19" i="1"/>
  <c r="CM19" i="1" s="1"/>
  <c r="CJ19" i="1"/>
  <c r="BY19" i="1"/>
  <c r="AR19" i="1"/>
  <c r="AS19" i="1" s="1"/>
  <c r="V19" i="1"/>
  <c r="Y19" i="1"/>
  <c r="U19" i="1"/>
  <c r="T19" i="1"/>
  <c r="S19" i="1"/>
  <c r="GZ18" i="1"/>
  <c r="HF18" i="1" s="1"/>
  <c r="GT18" i="1"/>
  <c r="GL18" i="1"/>
  <c r="GM18" i="1"/>
  <c r="CS18" i="1"/>
  <c r="CN18" i="1"/>
  <c r="CK18" i="1"/>
  <c r="CM18" i="1" s="1"/>
  <c r="CJ18" i="1"/>
  <c r="BY18" i="1"/>
  <c r="AS18" i="1"/>
  <c r="AK18" i="1"/>
  <c r="Y18" i="1"/>
  <c r="U18" i="1"/>
  <c r="T18" i="1"/>
  <c r="S18" i="1"/>
  <c r="HF29" i="1"/>
  <c r="GT29" i="1"/>
  <c r="GF29" i="1" s="1"/>
  <c r="HU29" i="1" s="1"/>
  <c r="GL29" i="1"/>
  <c r="GE29" i="1"/>
  <c r="GM29" i="1" s="1"/>
  <c r="DF29" i="1"/>
  <c r="CS29" i="1"/>
  <c r="CN29" i="1"/>
  <c r="CK29" i="1"/>
  <c r="CM29" i="1" s="1"/>
  <c r="CJ29" i="1"/>
  <c r="BY29" i="1"/>
  <c r="BI29" i="1"/>
  <c r="HG29" i="1"/>
  <c r="U29" i="1"/>
  <c r="O29" i="1"/>
  <c r="Y29" i="1" s="1"/>
  <c r="HF15" i="1"/>
  <c r="GT15" i="1"/>
  <c r="GL15" i="1"/>
  <c r="GM15" i="1"/>
  <c r="CS15" i="1"/>
  <c r="CN15" i="1"/>
  <c r="CK15" i="1"/>
  <c r="CM15" i="1" s="1"/>
  <c r="CJ15" i="1"/>
  <c r="BY15" i="1"/>
  <c r="AS15" i="1"/>
  <c r="AM15" i="1"/>
  <c r="Y15" i="1"/>
  <c r="U15" i="1"/>
  <c r="T15" i="1"/>
  <c r="P15" i="1"/>
  <c r="S15" i="1" s="1"/>
  <c r="HF14" i="1"/>
  <c r="GQ14" i="1"/>
  <c r="GT14" i="1"/>
  <c r="GW14" i="1" s="1"/>
  <c r="GL14" i="1"/>
  <c r="GM14" i="1"/>
  <c r="DF14" i="1"/>
  <c r="CN14" i="1"/>
  <c r="CK14" i="1"/>
  <c r="CM14" i="1" s="1"/>
  <c r="CJ14" i="1"/>
  <c r="BY14" i="1"/>
  <c r="AS14" i="1"/>
  <c r="Y14" i="1"/>
  <c r="U14" i="1"/>
  <c r="T14" i="1"/>
  <c r="S14" i="1"/>
  <c r="HF20" i="1"/>
  <c r="GT20" i="1"/>
  <c r="GF20" i="1" s="1"/>
  <c r="GL20" i="1"/>
  <c r="GM20" i="1"/>
  <c r="DF20" i="1"/>
  <c r="CN20" i="1"/>
  <c r="CK20" i="1"/>
  <c r="CM20" i="1" s="1"/>
  <c r="CJ20" i="1"/>
  <c r="BY20" i="1"/>
  <c r="AS20" i="1"/>
  <c r="W20" i="1"/>
  <c r="Y20" i="1"/>
  <c r="U20" i="1"/>
  <c r="T20" i="1"/>
  <c r="S20" i="1"/>
  <c r="GZ21" i="1"/>
  <c r="HF21" i="1" s="1"/>
  <c r="GT21" i="1"/>
  <c r="GW21" i="1" s="1"/>
  <c r="GL21" i="1"/>
  <c r="GM21" i="1"/>
  <c r="DF21" i="1"/>
  <c r="CN21" i="1"/>
  <c r="CK21" i="1"/>
  <c r="CM21" i="1" s="1"/>
  <c r="CJ21" i="1"/>
  <c r="BY21" i="1"/>
  <c r="AS21" i="1"/>
  <c r="AQ21" i="1"/>
  <c r="HP21" i="1"/>
  <c r="Y21" i="1"/>
  <c r="U21" i="1"/>
  <c r="T21" i="1"/>
  <c r="S21" i="1"/>
  <c r="GZ17" i="1"/>
  <c r="HF17" i="1" s="1"/>
  <c r="GT17" i="1"/>
  <c r="GL17" i="1"/>
  <c r="GM17" i="1"/>
  <c r="CN17" i="1"/>
  <c r="CK17" i="1"/>
  <c r="CM17" i="1" s="1"/>
  <c r="CJ17" i="1"/>
  <c r="BY17" i="1"/>
  <c r="AS17" i="1"/>
  <c r="AK17" i="1"/>
  <c r="Y17" i="1"/>
  <c r="U17" i="1"/>
  <c r="T17" i="1"/>
  <c r="S17" i="1"/>
  <c r="HF7" i="1"/>
  <c r="GT7" i="1"/>
  <c r="GR7" i="1"/>
  <c r="GM7" i="1"/>
  <c r="GL7" i="1"/>
  <c r="DF7" i="1"/>
  <c r="CJ7" i="1"/>
  <c r="CO7" i="1" s="1"/>
  <c r="AS7" i="1"/>
  <c r="HN7" i="1"/>
  <c r="Y7" i="1"/>
  <c r="U7" i="1"/>
  <c r="T7" i="1"/>
  <c r="P7" i="1"/>
  <c r="HF9" i="1"/>
  <c r="GT9" i="1"/>
  <c r="GR9" i="1"/>
  <c r="GM9" i="1"/>
  <c r="GL9" i="1"/>
  <c r="DF9" i="1"/>
  <c r="CK9" i="1"/>
  <c r="CM9" i="1" s="1"/>
  <c r="CJ9" i="1"/>
  <c r="AS9" i="1"/>
  <c r="AK9" i="1"/>
  <c r="HF5" i="1"/>
  <c r="GT5" i="1"/>
  <c r="GF5" i="1" s="1"/>
  <c r="GR5" i="1"/>
  <c r="GM5" i="1"/>
  <c r="GL5" i="1"/>
  <c r="DF5" i="1"/>
  <c r="CK5" i="1"/>
  <c r="CM5" i="1" s="1"/>
  <c r="CJ5" i="1"/>
  <c r="AS5" i="1"/>
  <c r="T5" i="1"/>
  <c r="P5" i="1"/>
  <c r="S5" i="1" s="1"/>
  <c r="HF4" i="1"/>
  <c r="GT4" i="1"/>
  <c r="GR4" i="1"/>
  <c r="GM4" i="1"/>
  <c r="GL4" i="1"/>
  <c r="DF4" i="1"/>
  <c r="CK4" i="1"/>
  <c r="CM4" i="1" s="1"/>
  <c r="CJ4" i="1"/>
  <c r="Y4" i="1"/>
  <c r="U4" i="1"/>
  <c r="T4" i="1"/>
  <c r="P4" i="1"/>
  <c r="GZ8" i="1"/>
  <c r="HF8" i="1" s="1"/>
  <c r="GT8" i="1"/>
  <c r="GR8" i="1"/>
  <c r="GM8" i="1"/>
  <c r="GL8" i="1"/>
  <c r="DF8" i="1"/>
  <c r="CK8" i="1"/>
  <c r="CM8" i="1" s="1"/>
  <c r="CJ8" i="1"/>
  <c r="CO8" i="1" s="1"/>
  <c r="AS8" i="1"/>
  <c r="AQ8" i="1"/>
  <c r="HN8" i="1"/>
  <c r="Y8" i="1"/>
  <c r="U8" i="1"/>
  <c r="T8" i="1"/>
  <c r="S8" i="1"/>
  <c r="GZ6" i="1"/>
  <c r="HF6" i="1" s="1"/>
  <c r="GT6" i="1"/>
  <c r="GR6" i="1"/>
  <c r="GM6" i="1"/>
  <c r="GL6" i="1"/>
  <c r="DF6" i="1"/>
  <c r="CK6" i="1"/>
  <c r="CM6" i="1" s="1"/>
  <c r="CJ6" i="1"/>
  <c r="GZ10" i="1"/>
  <c r="GT10" i="1"/>
  <c r="GF10" i="1" s="1"/>
  <c r="GR10" i="1"/>
  <c r="GM10" i="1"/>
  <c r="GL10" i="1"/>
  <c r="DF10" i="1"/>
  <c r="CK10" i="1"/>
  <c r="CM10" i="1" s="1"/>
  <c r="CJ10" i="1"/>
  <c r="HG10" i="1"/>
  <c r="U10" i="1"/>
  <c r="O10" i="1"/>
  <c r="Y10" i="1" s="1"/>
  <c r="GZ3" i="1"/>
  <c r="GT3" i="1"/>
  <c r="GR3" i="1"/>
  <c r="GM3" i="1"/>
  <c r="GL3" i="1"/>
  <c r="DF3" i="1"/>
  <c r="CK3" i="1"/>
  <c r="CM3" i="1" s="1"/>
  <c r="CJ3" i="1"/>
  <c r="CO3" i="1" s="1"/>
  <c r="AS3" i="1"/>
  <c r="Y3" i="1"/>
  <c r="U3" i="1"/>
  <c r="T3" i="1"/>
  <c r="S3" i="1"/>
  <c r="GT2" i="1"/>
  <c r="GW2" i="1" s="1"/>
  <c r="GR2" i="1"/>
  <c r="GM2" i="1"/>
  <c r="GL2" i="1"/>
  <c r="DF2" i="1"/>
  <c r="CI2" i="1"/>
  <c r="CM2" i="1" s="1"/>
  <c r="AS2" i="1"/>
  <c r="Y2" i="1"/>
  <c r="U2" i="1"/>
  <c r="T2" i="1"/>
  <c r="S2" i="1"/>
  <c r="CJ24" i="1"/>
  <c r="GM19" i="1"/>
  <c r="U5" i="1"/>
  <c r="CJ31" i="1"/>
  <c r="GM11" i="1"/>
  <c r="CJ35" i="1"/>
  <c r="GM13" i="1"/>
  <c r="CR49" i="1"/>
  <c r="CL49" i="1" s="1"/>
  <c r="GF40" i="1" l="1"/>
  <c r="GF56" i="1"/>
  <c r="GW24" i="1"/>
  <c r="GF24" i="1"/>
  <c r="GW22" i="1"/>
  <c r="GF22" i="1"/>
  <c r="HU22" i="1" s="1"/>
  <c r="GF36" i="1"/>
  <c r="GF37" i="1"/>
  <c r="HQ37" i="1" s="1"/>
  <c r="GW6" i="1"/>
  <c r="GF6" i="1"/>
  <c r="HC6" i="1" s="1"/>
  <c r="GF59" i="1"/>
  <c r="GM59" i="1" s="1"/>
  <c r="GF34" i="1"/>
  <c r="HQ34" i="1" s="1"/>
  <c r="GW27" i="1"/>
  <c r="GF27" i="1"/>
  <c r="HU27" i="1" s="1"/>
  <c r="GW42" i="1"/>
  <c r="GF42" i="1"/>
  <c r="HU42" i="1" s="1"/>
  <c r="GW30" i="1"/>
  <c r="GF30" i="1"/>
  <c r="GF31" i="1"/>
  <c r="GH31" i="1" s="1"/>
  <c r="GW28" i="1"/>
  <c r="GF28" i="1"/>
  <c r="GG28" i="1" s="1"/>
  <c r="GW25" i="1"/>
  <c r="GF25" i="1"/>
  <c r="GW26" i="1"/>
  <c r="GF26" i="1"/>
  <c r="GI26" i="1" s="1"/>
  <c r="GW36" i="1"/>
  <c r="GW47" i="1"/>
  <c r="GF47" i="1"/>
  <c r="GF58" i="1"/>
  <c r="GM58" i="1" s="1"/>
  <c r="GW9" i="1"/>
  <c r="GF9" i="1"/>
  <c r="GW55" i="1"/>
  <c r="GF55" i="1"/>
  <c r="HF57" i="1"/>
  <c r="HI57" i="1" s="1"/>
  <c r="GF57" i="1"/>
  <c r="GW12" i="1"/>
  <c r="GF12" i="1"/>
  <c r="HQ12" i="1" s="1"/>
  <c r="GF23" i="1"/>
  <c r="HU23" i="1" s="1"/>
  <c r="GF35" i="1"/>
  <c r="HQ35" i="1" s="1"/>
  <c r="GW45" i="1"/>
  <c r="GF45" i="1"/>
  <c r="GG45" i="1" s="1"/>
  <c r="GF48" i="1"/>
  <c r="GM48" i="1" s="1"/>
  <c r="GW62" i="1"/>
  <c r="GF62" i="1"/>
  <c r="HU61" i="1"/>
  <c r="FO38" i="1"/>
  <c r="CL38" i="1"/>
  <c r="CJ36" i="1"/>
  <c r="CL36" i="1"/>
  <c r="FO101" i="1"/>
  <c r="CL101" i="1"/>
  <c r="FO70" i="1"/>
  <c r="CL70" i="1"/>
  <c r="CV51" i="1"/>
  <c r="FO51" i="1"/>
  <c r="CV49" i="1"/>
  <c r="FO49" i="1"/>
  <c r="CJ95" i="1"/>
  <c r="CO95" i="1" s="1"/>
  <c r="FO95" i="1"/>
  <c r="CV74" i="1"/>
  <c r="CW74" i="1" s="1"/>
  <c r="FO74" i="1"/>
  <c r="CV87" i="1"/>
  <c r="CW87" i="1" s="1"/>
  <c r="FO87" i="1"/>
  <c r="CV52" i="1"/>
  <c r="CW52" i="1" s="1"/>
  <c r="FO52" i="1"/>
  <c r="CV64" i="1"/>
  <c r="CW64" i="1" s="1"/>
  <c r="FO64" i="1"/>
  <c r="CV65" i="1"/>
  <c r="CW65" i="1" s="1"/>
  <c r="FO65" i="1"/>
  <c r="CV72" i="1"/>
  <c r="CW72" i="1" s="1"/>
  <c r="FO72" i="1"/>
  <c r="CV96" i="1"/>
  <c r="CW96" i="1" s="1"/>
  <c r="FO96" i="1"/>
  <c r="CJ75" i="1"/>
  <c r="CO75" i="1" s="1"/>
  <c r="FO75" i="1"/>
  <c r="CJ88" i="1"/>
  <c r="CO88" i="1" s="1"/>
  <c r="FO88" i="1"/>
  <c r="CV48" i="1"/>
  <c r="FO48" i="1"/>
  <c r="CV43" i="1"/>
  <c r="CW43" i="1" s="1"/>
  <c r="FO43" i="1"/>
  <c r="CJ102" i="1"/>
  <c r="CO102" i="1" s="1"/>
  <c r="FO102" i="1"/>
  <c r="CV98" i="1"/>
  <c r="CW98" i="1" s="1"/>
  <c r="FO98" i="1"/>
  <c r="CV76" i="1"/>
  <c r="CW76" i="1" s="1"/>
  <c r="FO76" i="1"/>
  <c r="CJ89" i="1"/>
  <c r="FO89" i="1"/>
  <c r="CV63" i="1"/>
  <c r="CW63" i="1" s="1"/>
  <c r="CK63" i="1" s="1"/>
  <c r="CM63" i="1" s="1"/>
  <c r="FO63" i="1"/>
  <c r="CV71" i="1"/>
  <c r="CW71" i="1" s="1"/>
  <c r="FO71" i="1"/>
  <c r="CV94" i="1"/>
  <c r="CW94" i="1" s="1"/>
  <c r="FO94" i="1"/>
  <c r="CV73" i="1"/>
  <c r="CW73" i="1" s="1"/>
  <c r="FO73" i="1"/>
  <c r="CV77" i="1"/>
  <c r="CW77" i="1" s="1"/>
  <c r="FO77" i="1"/>
  <c r="AF108" i="1"/>
  <c r="AF104" i="1"/>
  <c r="HG99" i="1"/>
  <c r="GQ99" i="1"/>
  <c r="HP99" i="1"/>
  <c r="HN99" i="1"/>
  <c r="GX99" i="1"/>
  <c r="HH99" i="1"/>
  <c r="HI99" i="1"/>
  <c r="GI99" i="1"/>
  <c r="HN86" i="1"/>
  <c r="GX86" i="1"/>
  <c r="HH86" i="1"/>
  <c r="HG86" i="1"/>
  <c r="GQ86" i="1"/>
  <c r="HP86" i="1"/>
  <c r="GI86" i="1"/>
  <c r="HI86" i="1"/>
  <c r="HG69" i="1"/>
  <c r="GQ69" i="1"/>
  <c r="HP69" i="1"/>
  <c r="HN69" i="1"/>
  <c r="GX69" i="1"/>
  <c r="HH69" i="1"/>
  <c r="GI69" i="1"/>
  <c r="HI69" i="1"/>
  <c r="HN85" i="1"/>
  <c r="GX85" i="1"/>
  <c r="HH85" i="1"/>
  <c r="HG85" i="1"/>
  <c r="GQ85" i="1"/>
  <c r="HP85" i="1"/>
  <c r="GI85" i="1"/>
  <c r="HI85" i="1"/>
  <c r="HP102" i="1"/>
  <c r="HN102" i="1"/>
  <c r="GX102" i="1"/>
  <c r="HH102" i="1"/>
  <c r="GQ102" i="1"/>
  <c r="HG102" i="1"/>
  <c r="HI102" i="1"/>
  <c r="GI102" i="1"/>
  <c r="HG74" i="1"/>
  <c r="GQ74" i="1"/>
  <c r="HP74" i="1"/>
  <c r="HN74" i="1"/>
  <c r="GX74" i="1"/>
  <c r="HH74" i="1"/>
  <c r="GI74" i="1"/>
  <c r="HI74" i="1"/>
  <c r="HG101" i="1"/>
  <c r="GQ101" i="1"/>
  <c r="HP101" i="1"/>
  <c r="HN101" i="1"/>
  <c r="GX101" i="1"/>
  <c r="HH101" i="1"/>
  <c r="HI101" i="1"/>
  <c r="GI101" i="1"/>
  <c r="HN79" i="1"/>
  <c r="GX79" i="1"/>
  <c r="HH79" i="1"/>
  <c r="HG79" i="1"/>
  <c r="GQ79" i="1"/>
  <c r="HP79" i="1"/>
  <c r="GI79" i="1"/>
  <c r="HI79" i="1"/>
  <c r="HG93" i="1"/>
  <c r="GQ93" i="1"/>
  <c r="HP93" i="1"/>
  <c r="HN93" i="1"/>
  <c r="GX93" i="1"/>
  <c r="HH93" i="1"/>
  <c r="GI93" i="1"/>
  <c r="HI93" i="1"/>
  <c r="GM44" i="1"/>
  <c r="AN53" i="1"/>
  <c r="V53" i="1"/>
  <c r="Y30" i="1"/>
  <c r="U30" i="1"/>
  <c r="HF66" i="1"/>
  <c r="HI66" i="1" s="1"/>
  <c r="GM66" i="1"/>
  <c r="CO24" i="1"/>
  <c r="Y5" i="1"/>
  <c r="GI65" i="1"/>
  <c r="HC65" i="1"/>
  <c r="HU71" i="1"/>
  <c r="HC71" i="1"/>
  <c r="GI72" i="1"/>
  <c r="HC72" i="1"/>
  <c r="GW58" i="1"/>
  <c r="BN47" i="1"/>
  <c r="D135" i="1"/>
  <c r="P153" i="1" s="1"/>
  <c r="BN42" i="1"/>
  <c r="CO45" i="1"/>
  <c r="HC68" i="1"/>
  <c r="HU65" i="1"/>
  <c r="CM37" i="1"/>
  <c r="BN37" i="1"/>
  <c r="BN44" i="1"/>
  <c r="CK51" i="1"/>
  <c r="CM51" i="1" s="1"/>
  <c r="CJ51" i="1"/>
  <c r="CJ48" i="1"/>
  <c r="CO48" i="1" s="1"/>
  <c r="GW61" i="1"/>
  <c r="CV75" i="1"/>
  <c r="CW75" i="1" s="1"/>
  <c r="AS36" i="1"/>
  <c r="HG114" i="1"/>
  <c r="BN21" i="1"/>
  <c r="R51" i="1"/>
  <c r="HP35" i="1"/>
  <c r="BN20" i="1"/>
  <c r="V99" i="1"/>
  <c r="AK99" i="1"/>
  <c r="W99" i="1"/>
  <c r="R99" i="1"/>
  <c r="R86" i="1"/>
  <c r="AK86" i="1"/>
  <c r="HP12" i="1"/>
  <c r="AK12" i="1"/>
  <c r="HG26" i="1"/>
  <c r="AK26" i="1"/>
  <c r="GQ60" i="1"/>
  <c r="AK60" i="1"/>
  <c r="R60" i="1"/>
  <c r="W60" i="1"/>
  <c r="AK69" i="1"/>
  <c r="R69" i="1"/>
  <c r="W69" i="1"/>
  <c r="V69" i="1"/>
  <c r="V74" i="1"/>
  <c r="AK74" i="1"/>
  <c r="R74" i="1"/>
  <c r="GX59" i="1"/>
  <c r="V59" i="1"/>
  <c r="AK59" i="1"/>
  <c r="R59" i="1"/>
  <c r="W59" i="1"/>
  <c r="HP61" i="1"/>
  <c r="V61" i="1"/>
  <c r="AK61" i="1"/>
  <c r="R61" i="1"/>
  <c r="W61" i="1"/>
  <c r="W93" i="1"/>
  <c r="AK93" i="1"/>
  <c r="GX68" i="1"/>
  <c r="W68" i="1"/>
  <c r="R68" i="1"/>
  <c r="V68" i="1"/>
  <c r="AK79" i="1"/>
  <c r="R79" i="1"/>
  <c r="R101" i="1"/>
  <c r="AK85" i="1"/>
  <c r="R85" i="1"/>
  <c r="HP67" i="1"/>
  <c r="V67" i="1"/>
  <c r="W67" i="1"/>
  <c r="GX62" i="1"/>
  <c r="AK62" i="1"/>
  <c r="R62" i="1"/>
  <c r="V62" i="1"/>
  <c r="W62" i="1"/>
  <c r="HU67" i="1"/>
  <c r="CJ72" i="1"/>
  <c r="HU63" i="1"/>
  <c r="T29" i="1"/>
  <c r="S29" i="1"/>
  <c r="AS29" i="1"/>
  <c r="GW40" i="1"/>
  <c r="CO35" i="1"/>
  <c r="S38" i="1"/>
  <c r="CV89" i="1"/>
  <c r="CW89" i="1" s="1"/>
  <c r="HC67" i="1"/>
  <c r="Y36" i="1"/>
  <c r="CJ94" i="1"/>
  <c r="HQ63" i="1"/>
  <c r="HE108" i="1"/>
  <c r="S34" i="1"/>
  <c r="GH38" i="1"/>
  <c r="GH61" i="1"/>
  <c r="HQ67" i="1"/>
  <c r="HC61" i="1"/>
  <c r="HG117" i="1"/>
  <c r="GI70" i="1"/>
  <c r="T34" i="1"/>
  <c r="HH40" i="1"/>
  <c r="T38" i="1"/>
  <c r="GX71" i="1"/>
  <c r="S10" i="1"/>
  <c r="AS34" i="1"/>
  <c r="HG111" i="1"/>
  <c r="GW56" i="1"/>
  <c r="CO40" i="1"/>
  <c r="T10" i="1"/>
  <c r="AS10" i="1"/>
  <c r="CO21" i="1"/>
  <c r="CO29" i="1"/>
  <c r="CO34" i="1"/>
  <c r="S36" i="1"/>
  <c r="GE47" i="1"/>
  <c r="CO26" i="1"/>
  <c r="CJ63" i="1"/>
  <c r="HU68" i="1"/>
  <c r="GH65" i="1"/>
  <c r="GH68" i="1"/>
  <c r="HQ65" i="1"/>
  <c r="GH71" i="1"/>
  <c r="GG59" i="1"/>
  <c r="BN28" i="1"/>
  <c r="GI71" i="1"/>
  <c r="CJ38" i="1"/>
  <c r="CO38" i="1" s="1"/>
  <c r="HQ71" i="1"/>
  <c r="CJ74" i="1"/>
  <c r="BN40" i="1"/>
  <c r="R25" i="1"/>
  <c r="BN45" i="1"/>
  <c r="GG68" i="1"/>
  <c r="CJ64" i="1"/>
  <c r="GG67" i="1"/>
  <c r="GW59" i="1"/>
  <c r="HU70" i="1"/>
  <c r="W46" i="1"/>
  <c r="AO53" i="1"/>
  <c r="GX55" i="1"/>
  <c r="GQ41" i="1"/>
  <c r="GQ36" i="1"/>
  <c r="AN43" i="1"/>
  <c r="V41" i="1"/>
  <c r="R55" i="1"/>
  <c r="CJ71" i="1"/>
  <c r="GM67" i="1"/>
  <c r="GK108" i="1"/>
  <c r="CV102" i="1"/>
  <c r="GM62" i="1"/>
  <c r="AO57" i="1"/>
  <c r="HG53" i="1"/>
  <c r="HC66" i="1"/>
  <c r="V29" i="1"/>
  <c r="GI25" i="1"/>
  <c r="BN17" i="1"/>
  <c r="AK102" i="1"/>
  <c r="HU58" i="1"/>
  <c r="BN27" i="1"/>
  <c r="GJ104" i="1"/>
  <c r="R7" i="1"/>
  <c r="GP108" i="1"/>
  <c r="GR108" i="1" s="1"/>
  <c r="R15" i="1"/>
  <c r="HG68" i="1"/>
  <c r="GQ68" i="1"/>
  <c r="HH46" i="1"/>
  <c r="HN53" i="1"/>
  <c r="GQ53" i="1"/>
  <c r="CO28" i="1"/>
  <c r="HI43" i="1"/>
  <c r="GH55" i="1"/>
  <c r="AL55" i="1"/>
  <c r="AN15" i="1"/>
  <c r="CJ52" i="1"/>
  <c r="CO52" i="1" s="1"/>
  <c r="GW35" i="1"/>
  <c r="R43" i="1"/>
  <c r="HH43" i="1"/>
  <c r="HN55" i="1"/>
  <c r="HG45" i="1"/>
  <c r="HQ72" i="1"/>
  <c r="GH64" i="1"/>
  <c r="GQ43" i="1"/>
  <c r="AN55" i="1"/>
  <c r="HN43" i="1"/>
  <c r="HP41" i="1"/>
  <c r="HN21" i="1"/>
  <c r="CO25" i="1"/>
  <c r="HH41" i="1"/>
  <c r="AO41" i="1"/>
  <c r="W41" i="1"/>
  <c r="HN45" i="1"/>
  <c r="AO55" i="1"/>
  <c r="GG57" i="1"/>
  <c r="HG30" i="1"/>
  <c r="V15" i="1"/>
  <c r="GQ37" i="1"/>
  <c r="GJ108" i="1"/>
  <c r="GH29" i="1"/>
  <c r="GX27" i="1"/>
  <c r="HN35" i="1"/>
  <c r="V25" i="1"/>
  <c r="W29" i="1"/>
  <c r="CO37" i="1"/>
  <c r="R33" i="1"/>
  <c r="HI30" i="1"/>
  <c r="HI45" i="1"/>
  <c r="GX41" i="1"/>
  <c r="HP55" i="1"/>
  <c r="GI64" i="1"/>
  <c r="HH68" i="1"/>
  <c r="HN68" i="1"/>
  <c r="GI68" i="1"/>
  <c r="R41" i="1"/>
  <c r="GO104" i="1"/>
  <c r="HG41" i="1"/>
  <c r="AK30" i="1"/>
  <c r="HN18" i="1"/>
  <c r="V18" i="1"/>
  <c r="AN21" i="1"/>
  <c r="AK36" i="1"/>
  <c r="AM53" i="1"/>
  <c r="AK45" i="1"/>
  <c r="HI18" i="1"/>
  <c r="HG55" i="1"/>
  <c r="CJ77" i="1"/>
  <c r="GQ15" i="1"/>
  <c r="HP68" i="1"/>
  <c r="HF55" i="1"/>
  <c r="HI55" i="1" s="1"/>
  <c r="V43" i="1"/>
  <c r="GX43" i="1"/>
  <c r="GQ55" i="1"/>
  <c r="HN41" i="1"/>
  <c r="W43" i="1"/>
  <c r="HP45" i="1"/>
  <c r="W36" i="1"/>
  <c r="R45" i="1"/>
  <c r="GW67" i="1"/>
  <c r="HP43" i="1"/>
  <c r="AK55" i="1"/>
  <c r="CK24" i="1"/>
  <c r="CM24" i="1" s="1"/>
  <c r="HC58" i="1"/>
  <c r="HQ60" i="1"/>
  <c r="HI35" i="1"/>
  <c r="HQ64" i="1"/>
  <c r="HN15" i="1"/>
  <c r="S25" i="1"/>
  <c r="W37" i="1"/>
  <c r="AK37" i="1"/>
  <c r="W33" i="1"/>
  <c r="GX35" i="1"/>
  <c r="AK15" i="1"/>
  <c r="GX54" i="1"/>
  <c r="BN24" i="1"/>
  <c r="GF21" i="1"/>
  <c r="GI21" i="1" s="1"/>
  <c r="W18" i="1"/>
  <c r="HN25" i="1"/>
  <c r="AK29" i="1"/>
  <c r="HG21" i="1"/>
  <c r="W27" i="1"/>
  <c r="AP15" i="1"/>
  <c r="W14" i="1"/>
  <c r="R35" i="1"/>
  <c r="HG35" i="1"/>
  <c r="HN29" i="1"/>
  <c r="AM41" i="1"/>
  <c r="AK43" i="1"/>
  <c r="AK41" i="1"/>
  <c r="AO43" i="1"/>
  <c r="V37" i="1"/>
  <c r="HH55" i="1"/>
  <c r="HU52" i="1"/>
  <c r="W55" i="1"/>
  <c r="AM43" i="1"/>
  <c r="R30" i="1"/>
  <c r="AL14" i="1"/>
  <c r="HG18" i="1"/>
  <c r="HG15" i="1"/>
  <c r="AK21" i="1"/>
  <c r="HP18" i="1"/>
  <c r="W25" i="1"/>
  <c r="AL15" i="1"/>
  <c r="GQ8" i="1"/>
  <c r="AM45" i="1"/>
  <c r="HN33" i="1"/>
  <c r="HG20" i="1"/>
  <c r="GW5" i="1"/>
  <c r="V55" i="1"/>
  <c r="AK35" i="1"/>
  <c r="HH45" i="1"/>
  <c r="GF2" i="1"/>
  <c r="R37" i="1"/>
  <c r="HG33" i="1"/>
  <c r="HP25" i="1"/>
  <c r="AO29" i="1"/>
  <c r="CO15" i="1"/>
  <c r="HP8" i="1"/>
  <c r="GW34" i="1"/>
  <c r="HI8" i="1"/>
  <c r="V21" i="1"/>
  <c r="AM21" i="1"/>
  <c r="HI25" i="1"/>
  <c r="HD122" i="1"/>
  <c r="HH122" i="1" s="1"/>
  <c r="GX11" i="1"/>
  <c r="HG36" i="1"/>
  <c r="HI47" i="1"/>
  <c r="HI62" i="1"/>
  <c r="HI46" i="1"/>
  <c r="V46" i="1"/>
  <c r="AP46" i="1"/>
  <c r="HG39" i="1"/>
  <c r="AO17" i="1"/>
  <c r="AO102" i="1"/>
  <c r="R46" i="1"/>
  <c r="V102" i="1"/>
  <c r="GQ40" i="1"/>
  <c r="HG16" i="1"/>
  <c r="R40" i="1"/>
  <c r="AK22" i="1"/>
  <c r="GQ46" i="1"/>
  <c r="HP46" i="1"/>
  <c r="V47" i="1"/>
  <c r="HN46" i="1"/>
  <c r="V51" i="1"/>
  <c r="AM102" i="1"/>
  <c r="R102" i="1"/>
  <c r="GI61" i="1"/>
  <c r="AN46" i="1"/>
  <c r="AK46" i="1"/>
  <c r="HG46" i="1"/>
  <c r="AN102" i="1"/>
  <c r="HP56" i="1"/>
  <c r="GG53" i="1"/>
  <c r="HI68" i="1"/>
  <c r="HI61" i="1"/>
  <c r="HU64" i="1"/>
  <c r="HU72" i="1"/>
  <c r="HU60" i="1"/>
  <c r="GS49" i="1"/>
  <c r="GW49" i="1" s="1"/>
  <c r="HN42" i="1"/>
  <c r="S51" i="1"/>
  <c r="AP40" i="1"/>
  <c r="HN16" i="1"/>
  <c r="AO40" i="1"/>
  <c r="GW31" i="1"/>
  <c r="AK10" i="1"/>
  <c r="GX34" i="1"/>
  <c r="AJ108" i="1"/>
  <c r="CJ65" i="1"/>
  <c r="AN40" i="1"/>
  <c r="HG17" i="1"/>
  <c r="HP34" i="1"/>
  <c r="AL17" i="1"/>
  <c r="HP42" i="1"/>
  <c r="GW48" i="1"/>
  <c r="AP51" i="1"/>
  <c r="HP40" i="1"/>
  <c r="HQ62" i="1"/>
  <c r="HH42" i="1"/>
  <c r="BN13" i="1"/>
  <c r="GH60" i="1"/>
  <c r="HC62" i="1"/>
  <c r="CO19" i="1"/>
  <c r="GX21" i="1"/>
  <c r="HI15" i="1"/>
  <c r="W42" i="1"/>
  <c r="HQ58" i="1"/>
  <c r="HU62" i="1"/>
  <c r="GI44" i="1"/>
  <c r="GX40" i="1"/>
  <c r="HG28" i="1"/>
  <c r="GQ17" i="1"/>
  <c r="GQ10" i="1"/>
  <c r="HN22" i="1"/>
  <c r="HI12" i="1"/>
  <c r="HG32" i="1"/>
  <c r="HP32" i="1"/>
  <c r="V38" i="1"/>
  <c r="GQ38" i="1"/>
  <c r="GX38" i="1"/>
  <c r="AP54" i="1"/>
  <c r="AM54" i="1"/>
  <c r="AO54" i="1"/>
  <c r="HG54" i="1"/>
  <c r="HP54" i="1"/>
  <c r="V54" i="1"/>
  <c r="W54" i="1"/>
  <c r="GQ54" i="1"/>
  <c r="AL54" i="1"/>
  <c r="HH54" i="1"/>
  <c r="GX60" i="1"/>
  <c r="HN60" i="1"/>
  <c r="HH60" i="1"/>
  <c r="HG60" i="1"/>
  <c r="AN54" i="1"/>
  <c r="AK54" i="1"/>
  <c r="HP49" i="1"/>
  <c r="GI60" i="1"/>
  <c r="GI20" i="1"/>
  <c r="HQ20" i="1"/>
  <c r="GF15" i="1"/>
  <c r="HQ15" i="1" s="1"/>
  <c r="GW15" i="1"/>
  <c r="S23" i="1"/>
  <c r="R23" i="1"/>
  <c r="HP39" i="1"/>
  <c r="AL39" i="1"/>
  <c r="GQ39" i="1"/>
  <c r="AN39" i="1"/>
  <c r="HH37" i="1"/>
  <c r="HN37" i="1"/>
  <c r="AK24" i="1"/>
  <c r="GQ24" i="1"/>
  <c r="V49" i="1"/>
  <c r="T49" i="1"/>
  <c r="S54" i="1"/>
  <c r="R54" i="1"/>
  <c r="GL66" i="1"/>
  <c r="GK104" i="1"/>
  <c r="GQ19" i="1"/>
  <c r="HG62" i="1"/>
  <c r="HN62" i="1"/>
  <c r="HP62" i="1"/>
  <c r="HG61" i="1"/>
  <c r="HH61" i="1"/>
  <c r="HN61" i="1"/>
  <c r="W5" i="1"/>
  <c r="HP13" i="1"/>
  <c r="AK13" i="1"/>
  <c r="CO27" i="1"/>
  <c r="HP23" i="1"/>
  <c r="HG23" i="1"/>
  <c r="GI52" i="1"/>
  <c r="GW52" i="1"/>
  <c r="U56" i="1"/>
  <c r="T56" i="1"/>
  <c r="HN49" i="1"/>
  <c r="HG49" i="1"/>
  <c r="GX49" i="1"/>
  <c r="W49" i="1"/>
  <c r="AL49" i="1"/>
  <c r="AN49" i="1"/>
  <c r="GQ49" i="1"/>
  <c r="HH49" i="1"/>
  <c r="AN13" i="1"/>
  <c r="AM61" i="1"/>
  <c r="HF36" i="1"/>
  <c r="HI36" i="1" s="1"/>
  <c r="V32" i="1"/>
  <c r="GX52" i="1"/>
  <c r="HN54" i="1"/>
  <c r="V39" i="1"/>
  <c r="HP60" i="1"/>
  <c r="AM49" i="1"/>
  <c r="W21" i="1"/>
  <c r="R21" i="1"/>
  <c r="W15" i="1"/>
  <c r="P123" i="1"/>
  <c r="AK20" i="1"/>
  <c r="GW11" i="1"/>
  <c r="GX33" i="1"/>
  <c r="E216" i="1"/>
  <c r="GQ18" i="1"/>
  <c r="GQ21" i="1"/>
  <c r="R18" i="1"/>
  <c r="GI10" i="1"/>
  <c r="R36" i="1"/>
  <c r="HP53" i="1"/>
  <c r="HI54" i="1"/>
  <c r="HI60" i="1"/>
  <c r="HI67" i="1"/>
  <c r="HI59" i="1"/>
  <c r="E135" i="1"/>
  <c r="HD123" i="1"/>
  <c r="GX31" i="1"/>
  <c r="AK42" i="1"/>
  <c r="GS37" i="1"/>
  <c r="GE37" i="1" s="1"/>
  <c r="GQ12" i="1"/>
  <c r="W34" i="1"/>
  <c r="GH45" i="1"/>
  <c r="HG37" i="1"/>
  <c r="HI42" i="1"/>
  <c r="GH20" i="1"/>
  <c r="Y38" i="1"/>
  <c r="HN51" i="1"/>
  <c r="AL40" i="1"/>
  <c r="GX28" i="1"/>
  <c r="GX12" i="1"/>
  <c r="CJ42" i="1"/>
  <c r="CO42" i="1" s="1"/>
  <c r="AN29" i="1"/>
  <c r="V33" i="1"/>
  <c r="R42" i="1"/>
  <c r="AN51" i="1"/>
  <c r="W35" i="1"/>
  <c r="W40" i="1"/>
  <c r="AP17" i="1"/>
  <c r="HG25" i="1"/>
  <c r="AK28" i="1"/>
  <c r="R14" i="1"/>
  <c r="V17" i="1"/>
  <c r="HP27" i="1"/>
  <c r="AK25" i="1"/>
  <c r="AP29" i="1"/>
  <c r="AM17" i="1"/>
  <c r="HI51" i="1"/>
  <c r="GX42" i="1"/>
  <c r="GF16" i="1"/>
  <c r="HC16" i="1" s="1"/>
  <c r="HN10" i="1"/>
  <c r="CO30" i="1"/>
  <c r="HG42" i="1"/>
  <c r="GH30" i="1"/>
  <c r="GH44" i="1"/>
  <c r="R3" i="1"/>
  <c r="GQ3" i="1"/>
  <c r="R52" i="1"/>
  <c r="AN52" i="1"/>
  <c r="GQ52" i="1"/>
  <c r="HG52" i="1"/>
  <c r="GQ56" i="1"/>
  <c r="AM56" i="1"/>
  <c r="HQ49" i="1"/>
  <c r="GM49" i="1"/>
  <c r="HC49" i="1"/>
  <c r="AK66" i="1"/>
  <c r="GQ66" i="1"/>
  <c r="R66" i="1"/>
  <c r="GP104" i="1"/>
  <c r="HG58" i="1"/>
  <c r="W58" i="1"/>
  <c r="HH58" i="1"/>
  <c r="V58" i="1"/>
  <c r="GH49" i="1"/>
  <c r="HU49" i="1"/>
  <c r="W56" i="1"/>
  <c r="V56" i="1"/>
  <c r="HN3" i="1"/>
  <c r="HI58" i="1"/>
  <c r="GQ58" i="1"/>
  <c r="HN5" i="1"/>
  <c r="AK5" i="1"/>
  <c r="V7" i="1"/>
  <c r="GQ7" i="1"/>
  <c r="GW17" i="1"/>
  <c r="GX17" i="1"/>
  <c r="GW20" i="1"/>
  <c r="GX20" i="1"/>
  <c r="GW18" i="1"/>
  <c r="GF18" i="1"/>
  <c r="HQ18" i="1" s="1"/>
  <c r="AK19" i="1"/>
  <c r="HG19" i="1"/>
  <c r="R19" i="1"/>
  <c r="AL13" i="1"/>
  <c r="W13" i="1"/>
  <c r="V13" i="1"/>
  <c r="HN13" i="1"/>
  <c r="AO13" i="1"/>
  <c r="GQ13" i="1"/>
  <c r="GF13" i="1"/>
  <c r="GI13" i="1" s="1"/>
  <c r="GW13" i="1"/>
  <c r="GQ23" i="1"/>
  <c r="AK23" i="1"/>
  <c r="GW23" i="1"/>
  <c r="GX23" i="1"/>
  <c r="AK32" i="1"/>
  <c r="W32" i="1"/>
  <c r="R32" i="1"/>
  <c r="GQ32" i="1"/>
  <c r="GF32" i="1"/>
  <c r="GH32" i="1" s="1"/>
  <c r="GW32" i="1"/>
  <c r="GX26" i="1"/>
  <c r="HU51" i="1"/>
  <c r="GS51" i="1"/>
  <c r="GE51" i="1" s="1"/>
  <c r="AO39" i="1"/>
  <c r="HH39" i="1"/>
  <c r="AM39" i="1"/>
  <c r="AP39" i="1"/>
  <c r="W39" i="1"/>
  <c r="R39" i="1"/>
  <c r="HG38" i="1"/>
  <c r="HM38" i="1"/>
  <c r="HM104" i="1" s="1"/>
  <c r="HH38" i="1"/>
  <c r="W38" i="1"/>
  <c r="AK38" i="1"/>
  <c r="HC36" i="1"/>
  <c r="HN36" i="1"/>
  <c r="HH36" i="1"/>
  <c r="HN31" i="1"/>
  <c r="GQ31" i="1"/>
  <c r="HG31" i="1"/>
  <c r="HP31" i="1"/>
  <c r="HI31" i="1"/>
  <c r="HN24" i="1"/>
  <c r="HI24" i="1"/>
  <c r="HG24" i="1"/>
  <c r="HP24" i="1"/>
  <c r="V48" i="1"/>
  <c r="U48" i="1"/>
  <c r="HH48" i="1"/>
  <c r="AK48" i="1"/>
  <c r="U42" i="1"/>
  <c r="V42" i="1"/>
  <c r="HQ53" i="1"/>
  <c r="HU53" i="1"/>
  <c r="HG67" i="1"/>
  <c r="HN67" i="1"/>
  <c r="HG59" i="1"/>
  <c r="HH59" i="1"/>
  <c r="HN59" i="1"/>
  <c r="HP59" i="1"/>
  <c r="R93" i="1"/>
  <c r="GT104" i="1"/>
  <c r="HN58" i="1"/>
  <c r="W52" i="1"/>
  <c r="W66" i="1"/>
  <c r="HG7" i="1"/>
  <c r="GI49" i="1"/>
  <c r="GG20" i="1"/>
  <c r="HU20" i="1"/>
  <c r="HN19" i="1"/>
  <c r="AM13" i="1"/>
  <c r="V3" i="1"/>
  <c r="HP58" i="1"/>
  <c r="GX32" i="1"/>
  <c r="GX56" i="1"/>
  <c r="CO22" i="1"/>
  <c r="GI58" i="1"/>
  <c r="GX58" i="1"/>
  <c r="HF3" i="1"/>
  <c r="HI3" i="1" s="1"/>
  <c r="P121" i="1"/>
  <c r="W8" i="1"/>
  <c r="HG8" i="1"/>
  <c r="R8" i="1"/>
  <c r="GE49" i="1"/>
  <c r="GG49" i="1" s="1"/>
  <c r="HC20" i="1"/>
  <c r="HP66" i="1"/>
  <c r="AK67" i="1"/>
  <c r="R13" i="1"/>
  <c r="GX18" i="1"/>
  <c r="AK56" i="1"/>
  <c r="HI32" i="1"/>
  <c r="HG66" i="1"/>
  <c r="GQ59" i="1"/>
  <c r="GX67" i="1"/>
  <c r="AK4" i="1"/>
  <c r="GQ4" i="1"/>
  <c r="W17" i="1"/>
  <c r="HI29" i="1"/>
  <c r="AO14" i="1"/>
  <c r="AN17" i="1"/>
  <c r="GQ33" i="1"/>
  <c r="AK33" i="1"/>
  <c r="GX7" i="1"/>
  <c r="HI39" i="1"/>
  <c r="HI38" i="1"/>
  <c r="V2" i="1"/>
  <c r="W2" i="1"/>
  <c r="HG2" i="1"/>
  <c r="R2" i="1"/>
  <c r="HP2" i="1"/>
  <c r="GW60" i="1"/>
  <c r="GH59" i="1"/>
  <c r="V93" i="1"/>
  <c r="GH43" i="1"/>
  <c r="GM43" i="1"/>
  <c r="HQ59" i="1"/>
  <c r="GI59" i="1"/>
  <c r="GH66" i="1"/>
  <c r="GW33" i="1"/>
  <c r="GX25" i="1"/>
  <c r="HI27" i="1"/>
  <c r="CO10" i="1"/>
  <c r="HU59" i="1"/>
  <c r="HU55" i="1"/>
  <c r="HQ43" i="1"/>
  <c r="GG43" i="1"/>
  <c r="GI43" i="1"/>
  <c r="GQ2" i="1"/>
  <c r="CJ43" i="1"/>
  <c r="HQ66" i="1"/>
  <c r="GI66" i="1"/>
  <c r="AO21" i="1"/>
  <c r="AP21" i="1"/>
  <c r="R20" i="1"/>
  <c r="V20" i="1"/>
  <c r="HN20" i="1"/>
  <c r="HP20" i="1"/>
  <c r="GQ20" i="1"/>
  <c r="HI20" i="1"/>
  <c r="AO15" i="1"/>
  <c r="HP15" i="1"/>
  <c r="GQ34" i="1"/>
  <c r="HN34" i="1"/>
  <c r="HN40" i="1"/>
  <c r="AM40" i="1"/>
  <c r="HI40" i="1"/>
  <c r="CV70" i="1"/>
  <c r="CW70" i="1" s="1"/>
  <c r="CJ70" i="1"/>
  <c r="CJ101" i="1"/>
  <c r="CV101" i="1"/>
  <c r="CW101" i="1" s="1"/>
  <c r="CV95" i="1"/>
  <c r="CW95" i="1" s="1"/>
  <c r="BM39" i="1"/>
  <c r="HC43" i="1"/>
  <c r="HF10" i="1"/>
  <c r="HI10" i="1" s="1"/>
  <c r="GZ108" i="1"/>
  <c r="P125" i="1"/>
  <c r="CO9" i="1"/>
  <c r="HN17" i="1"/>
  <c r="HP17" i="1"/>
  <c r="R17" i="1"/>
  <c r="HI17" i="1"/>
  <c r="CK31" i="1"/>
  <c r="CM31" i="1" s="1"/>
  <c r="HF53" i="1"/>
  <c r="HI53" i="1" s="1"/>
  <c r="HA108" i="1"/>
  <c r="HQ54" i="1"/>
  <c r="HU54" i="1"/>
  <c r="GX66" i="1"/>
  <c r="HN66" i="1"/>
  <c r="C135" i="1"/>
  <c r="W45" i="1"/>
  <c r="HG51" i="1"/>
  <c r="HC9" i="1"/>
  <c r="CJ96" i="1"/>
  <c r="GX15" i="1"/>
  <c r="GW3" i="1"/>
  <c r="GX3" i="1"/>
  <c r="CO5" i="1"/>
  <c r="AP14" i="1"/>
  <c r="AM14" i="1"/>
  <c r="AN14" i="1"/>
  <c r="V14" i="1"/>
  <c r="GX14" i="1"/>
  <c r="HN14" i="1"/>
  <c r="HP14" i="1"/>
  <c r="HG14" i="1"/>
  <c r="AK14" i="1"/>
  <c r="R29" i="1"/>
  <c r="GQ29" i="1"/>
  <c r="HP29" i="1"/>
  <c r="GW29" i="1"/>
  <c r="GX29" i="1"/>
  <c r="CO18" i="1"/>
  <c r="GF19" i="1"/>
  <c r="GX19" i="1"/>
  <c r="GW19" i="1"/>
  <c r="HG22" i="1"/>
  <c r="HP22" i="1"/>
  <c r="W22" i="1"/>
  <c r="V22" i="1"/>
  <c r="AN22" i="1"/>
  <c r="HN12" i="1"/>
  <c r="HG12" i="1"/>
  <c r="GQ16" i="1"/>
  <c r="AK16" i="1"/>
  <c r="W16" i="1"/>
  <c r="V16" i="1"/>
  <c r="V28" i="1"/>
  <c r="HN28" i="1"/>
  <c r="R28" i="1"/>
  <c r="AK34" i="1"/>
  <c r="V34" i="1"/>
  <c r="GI29" i="1"/>
  <c r="HQ29" i="1"/>
  <c r="GG29" i="1"/>
  <c r="AO22" i="1"/>
  <c r="CO31" i="1"/>
  <c r="HC29" i="1"/>
  <c r="HI34" i="1"/>
  <c r="GX51" i="1"/>
  <c r="AK51" i="1"/>
  <c r="GX30" i="1"/>
  <c r="HQ40" i="1"/>
  <c r="AK8" i="1"/>
  <c r="V27" i="1"/>
  <c r="HG27" i="1"/>
  <c r="P122" i="1"/>
  <c r="S47" i="1"/>
  <c r="GX13" i="1"/>
  <c r="GX24" i="1"/>
  <c r="GQ51" i="1"/>
  <c r="CO14" i="1"/>
  <c r="AP35" i="1"/>
  <c r="GX36" i="1"/>
  <c r="W51" i="1"/>
  <c r="HH51" i="1"/>
  <c r="HN30" i="1"/>
  <c r="AO35" i="1"/>
  <c r="GQ30" i="1"/>
  <c r="GQ5" i="1"/>
  <c r="V8" i="1"/>
  <c r="GQ27" i="1"/>
  <c r="AK27" i="1"/>
  <c r="P124" i="1"/>
  <c r="P127" i="1"/>
  <c r="HN39" i="1"/>
  <c r="AO51" i="1"/>
  <c r="W102" i="1"/>
  <c r="GF17" i="1"/>
  <c r="V35" i="1"/>
  <c r="CO13" i="1"/>
  <c r="HI14" i="1"/>
  <c r="HI13" i="1"/>
  <c r="CJ98" i="1"/>
  <c r="GX2" i="1"/>
  <c r="HI7" i="1"/>
  <c r="HI33" i="1"/>
  <c r="HI41" i="1"/>
  <c r="GF3" i="1"/>
  <c r="BY108" i="1"/>
  <c r="CO2" i="1"/>
  <c r="GQ6" i="1"/>
  <c r="HG6" i="1"/>
  <c r="HN6" i="1"/>
  <c r="CJ49" i="1"/>
  <c r="V5" i="1"/>
  <c r="HI5" i="1"/>
  <c r="GQ9" i="1"/>
  <c r="GX9" i="1"/>
  <c r="GW46" i="1"/>
  <c r="AK7" i="1"/>
  <c r="HG9" i="1"/>
  <c r="W7" i="1"/>
  <c r="HP7" i="1"/>
  <c r="GX46" i="1"/>
  <c r="AK6" i="1"/>
  <c r="HG5" i="1"/>
  <c r="HP57" i="1"/>
  <c r="HP3" i="1"/>
  <c r="HG3" i="1"/>
  <c r="AK3" i="1"/>
  <c r="W3" i="1"/>
  <c r="W53" i="1"/>
  <c r="AP53" i="1"/>
  <c r="HH53" i="1"/>
  <c r="R53" i="1"/>
  <c r="GW53" i="1"/>
  <c r="GX53" i="1"/>
  <c r="GW54" i="1"/>
  <c r="P118" i="1"/>
  <c r="P115" i="1"/>
  <c r="P128" i="1" s="1"/>
  <c r="P116" i="1"/>
  <c r="GZ104" i="1"/>
  <c r="P117" i="1"/>
  <c r="S7" i="1"/>
  <c r="HI9" i="1"/>
  <c r="GX5" i="1"/>
  <c r="GX6" i="1"/>
  <c r="HP5" i="1"/>
  <c r="HP6" i="1"/>
  <c r="HP9" i="1"/>
  <c r="HN9" i="1"/>
  <c r="HI23" i="1"/>
  <c r="W23" i="1"/>
  <c r="V23" i="1"/>
  <c r="HN23" i="1"/>
  <c r="CO32" i="1"/>
  <c r="HP52" i="1"/>
  <c r="HN52" i="1"/>
  <c r="AO52" i="1"/>
  <c r="HH52" i="1"/>
  <c r="AK52" i="1"/>
  <c r="HI52" i="1"/>
  <c r="AL52" i="1"/>
  <c r="V52" i="1"/>
  <c r="AM52" i="1"/>
  <c r="R56" i="1"/>
  <c r="AO56" i="1"/>
  <c r="HH56" i="1"/>
  <c r="HG56" i="1"/>
  <c r="AN56" i="1"/>
  <c r="HN56" i="1"/>
  <c r="GW7" i="1"/>
  <c r="GF7" i="1"/>
  <c r="CJ39" i="1"/>
  <c r="CV39" i="1"/>
  <c r="CW39" i="1" s="1"/>
  <c r="GW41" i="1"/>
  <c r="HH66" i="1"/>
  <c r="AN66" i="1"/>
  <c r="GF14" i="1"/>
  <c r="CO20" i="1"/>
  <c r="AK2" i="1"/>
  <c r="V40" i="1"/>
  <c r="T48" i="1"/>
  <c r="HF37" i="1"/>
  <c r="HI37" i="1" s="1"/>
  <c r="HP37" i="1"/>
  <c r="R5" i="1"/>
  <c r="R27" i="1"/>
  <c r="HI56" i="1"/>
  <c r="AK101" i="1"/>
  <c r="V30" i="1"/>
  <c r="W30" i="1"/>
  <c r="GZ125" i="1"/>
  <c r="S16" i="1"/>
  <c r="R16" i="1"/>
  <c r="CO16" i="1"/>
  <c r="GX39" i="1"/>
  <c r="GW39" i="1"/>
  <c r="GE38" i="1"/>
  <c r="GW38" i="1"/>
  <c r="GX48" i="1"/>
  <c r="GQ48" i="1"/>
  <c r="AP48" i="1"/>
  <c r="AO48" i="1"/>
  <c r="HG48" i="1"/>
  <c r="HN48" i="1"/>
  <c r="GI48" i="1"/>
  <c r="HP48" i="1"/>
  <c r="HI48" i="1"/>
  <c r="GX47" i="1"/>
  <c r="AL57" i="1"/>
  <c r="HG57" i="1"/>
  <c r="R57" i="1"/>
  <c r="AM57" i="1"/>
  <c r="AN57" i="1"/>
  <c r="V57" i="1"/>
  <c r="HN57" i="1"/>
  <c r="W57" i="1"/>
  <c r="HH57" i="1"/>
  <c r="GX57" i="1"/>
  <c r="AK57" i="1"/>
  <c r="AC140" i="1"/>
  <c r="D216" i="1"/>
  <c r="GZ123" i="1"/>
  <c r="GZ122" i="1"/>
  <c r="GF8" i="1"/>
  <c r="GW8" i="1"/>
  <c r="GX8" i="1"/>
  <c r="GT108" i="1"/>
  <c r="S4" i="1"/>
  <c r="R4" i="1"/>
  <c r="HN4" i="1"/>
  <c r="AO4" i="1"/>
  <c r="HP4" i="1"/>
  <c r="HG4" i="1"/>
  <c r="C202" i="1"/>
  <c r="C204" i="1"/>
  <c r="C198" i="1"/>
  <c r="W4" i="1"/>
  <c r="C197" i="1"/>
  <c r="C203" i="1"/>
  <c r="C200" i="1"/>
  <c r="V4" i="1"/>
  <c r="AN4" i="1"/>
  <c r="C206" i="1"/>
  <c r="GX4" i="1"/>
  <c r="C199" i="1"/>
  <c r="S11" i="1"/>
  <c r="R11" i="1"/>
  <c r="GQ11" i="1"/>
  <c r="HN11" i="1"/>
  <c r="HI11" i="1"/>
  <c r="HP11" i="1"/>
  <c r="AK11" i="1"/>
  <c r="CO11" i="1"/>
  <c r="CK35" i="1"/>
  <c r="CM35" i="1" s="1"/>
  <c r="BN35" i="1"/>
  <c r="HC35" i="1"/>
  <c r="GI35" i="1"/>
  <c r="GG35" i="1"/>
  <c r="GM35" i="1"/>
  <c r="HU35" i="1"/>
  <c r="GH35" i="1"/>
  <c r="CO33" i="1"/>
  <c r="GM25" i="1"/>
  <c r="C205" i="1"/>
  <c r="HC10" i="1"/>
  <c r="HQ10" i="1"/>
  <c r="GH10" i="1"/>
  <c r="HU10" i="1"/>
  <c r="GG10" i="1"/>
  <c r="CO6" i="1"/>
  <c r="HI2" i="1"/>
  <c r="HN2" i="1"/>
  <c r="CO17" i="1"/>
  <c r="GX22" i="1"/>
  <c r="HI6" i="1"/>
  <c r="HG13" i="1"/>
  <c r="AP13" i="1"/>
  <c r="HI28" i="1"/>
  <c r="W28" i="1"/>
  <c r="HP28" i="1"/>
  <c r="HG40" i="1"/>
  <c r="AK40" i="1"/>
  <c r="V45" i="1"/>
  <c r="GQ45" i="1"/>
  <c r="GI45" i="1"/>
  <c r="GW10" i="1"/>
  <c r="GX10" i="1"/>
  <c r="CO4" i="1"/>
  <c r="GQ22" i="1"/>
  <c r="HI22" i="1"/>
  <c r="R22" i="1"/>
  <c r="HP26" i="1"/>
  <c r="HI26" i="1"/>
  <c r="HU56" i="1"/>
  <c r="HQ56" i="1"/>
  <c r="GR49" i="1"/>
  <c r="H135" i="1"/>
  <c r="F135" i="1"/>
  <c r="CJ87" i="1"/>
  <c r="HI4" i="1"/>
  <c r="GX37" i="1"/>
  <c r="HQ70" i="1"/>
  <c r="CJ76" i="1"/>
  <c r="CK42" i="1"/>
  <c r="CM42" i="1" s="1"/>
  <c r="HC5" i="1"/>
  <c r="GG5" i="1"/>
  <c r="HQ5" i="1"/>
  <c r="HU5" i="1"/>
  <c r="GH5" i="1"/>
  <c r="GI5" i="1"/>
  <c r="R10" i="1"/>
  <c r="W11" i="1"/>
  <c r="HP10" i="1"/>
  <c r="HG11" i="1"/>
  <c r="CO12" i="1"/>
  <c r="GQ26" i="1"/>
  <c r="HN26" i="1"/>
  <c r="HP36" i="1"/>
  <c r="CO36" i="1"/>
  <c r="HC48" i="1"/>
  <c r="GH48" i="1"/>
  <c r="HH62" i="1"/>
  <c r="GQ62" i="1"/>
  <c r="GI62" i="1"/>
  <c r="GQ61" i="1"/>
  <c r="GX61" i="1"/>
  <c r="GW4" i="1"/>
  <c r="GF4" i="1"/>
  <c r="HP19" i="1"/>
  <c r="W19" i="1"/>
  <c r="CK28" i="1"/>
  <c r="CM28" i="1" s="1"/>
  <c r="HH67" i="1"/>
  <c r="GI67" i="1"/>
  <c r="GQ67" i="1"/>
  <c r="HA104" i="1"/>
  <c r="GX16" i="1"/>
  <c r="V11" i="1"/>
  <c r="V10" i="1"/>
  <c r="W10" i="1"/>
  <c r="HI19" i="1"/>
  <c r="HI21" i="1"/>
  <c r="CJ46" i="1"/>
  <c r="BN46" i="1"/>
  <c r="HI49" i="1"/>
  <c r="HI16" i="1"/>
  <c r="F216" i="1"/>
  <c r="GH72" i="1"/>
  <c r="B207" i="1"/>
  <c r="AD140" i="1"/>
  <c r="W31" i="1" s="1"/>
  <c r="C216" i="1"/>
  <c r="G135" i="1"/>
  <c r="GH70" i="1"/>
  <c r="HC63" i="1"/>
  <c r="GI63" i="1"/>
  <c r="GG11" i="1"/>
  <c r="HU11" i="1"/>
  <c r="GI11" i="1"/>
  <c r="HC11" i="1"/>
  <c r="HQ11" i="1"/>
  <c r="CK25" i="1"/>
  <c r="CM25" i="1" s="1"/>
  <c r="BN25" i="1"/>
  <c r="O140" i="1"/>
  <c r="I135" i="1"/>
  <c r="B216" i="1"/>
  <c r="CV88" i="1"/>
  <c r="CW88" i="1" s="1"/>
  <c r="CJ73" i="1"/>
  <c r="HN104" i="1" l="1"/>
  <c r="HC34" i="1"/>
  <c r="GI34" i="1"/>
  <c r="GG34" i="1"/>
  <c r="GH34" i="1"/>
  <c r="HU34" i="1"/>
  <c r="HP104" i="1"/>
  <c r="HI104" i="1"/>
  <c r="HF104" i="1"/>
  <c r="GG58" i="1"/>
  <c r="GG61" i="1"/>
  <c r="GM61" i="1"/>
  <c r="HU48" i="1"/>
  <c r="GG48" i="1"/>
  <c r="HQ48" i="1"/>
  <c r="HQ31" i="1"/>
  <c r="HU31" i="1"/>
  <c r="GI31" i="1"/>
  <c r="HC31" i="1"/>
  <c r="GG31" i="1"/>
  <c r="C201" i="1"/>
  <c r="CC39" i="1"/>
  <c r="HP47" i="1"/>
  <c r="HN47" i="1"/>
  <c r="GQ47" i="1"/>
  <c r="HG47" i="1"/>
  <c r="HG104" i="1" s="1"/>
  <c r="CO89" i="1"/>
  <c r="FR52" i="1"/>
  <c r="FX52" i="1" s="1"/>
  <c r="FR88" i="1"/>
  <c r="FX88" i="1" s="1"/>
  <c r="FR43" i="1"/>
  <c r="FX43" i="1" s="1"/>
  <c r="FR63" i="1"/>
  <c r="FX63" i="1" s="1"/>
  <c r="R47" i="1"/>
  <c r="HH47" i="1"/>
  <c r="HH104" i="1" s="1"/>
  <c r="AK47" i="1"/>
  <c r="CK95" i="1"/>
  <c r="CM95" i="1" s="1"/>
  <c r="FR95" i="1"/>
  <c r="FX95" i="1" s="1"/>
  <c r="BN39" i="1"/>
  <c r="FR39" i="1"/>
  <c r="FX39" i="1" s="1"/>
  <c r="CK70" i="1"/>
  <c r="CM70" i="1" s="1"/>
  <c r="FR70" i="1"/>
  <c r="FX70" i="1" s="1"/>
  <c r="CK89" i="1"/>
  <c r="CM89" i="1" s="1"/>
  <c r="FR89" i="1"/>
  <c r="FX89" i="1" s="1"/>
  <c r="CK73" i="1"/>
  <c r="CM73" i="1" s="1"/>
  <c r="FR73" i="1"/>
  <c r="FX73" i="1" s="1"/>
  <c r="CK71" i="1"/>
  <c r="CM71" i="1" s="1"/>
  <c r="FR71" i="1"/>
  <c r="FX71" i="1" s="1"/>
  <c r="CK98" i="1"/>
  <c r="CM98" i="1" s="1"/>
  <c r="FR98" i="1"/>
  <c r="FX98" i="1" s="1"/>
  <c r="CK96" i="1"/>
  <c r="CM96" i="1" s="1"/>
  <c r="FR96" i="1"/>
  <c r="FX96" i="1" s="1"/>
  <c r="CK65" i="1"/>
  <c r="CM65" i="1" s="1"/>
  <c r="FR65" i="1"/>
  <c r="FX65" i="1" s="1"/>
  <c r="CK74" i="1"/>
  <c r="CM74" i="1" s="1"/>
  <c r="FR74" i="1"/>
  <c r="FX74" i="1" s="1"/>
  <c r="CK101" i="1"/>
  <c r="CM101" i="1" s="1"/>
  <c r="FR101" i="1"/>
  <c r="FX101" i="1" s="1"/>
  <c r="CK75" i="1"/>
  <c r="CM75" i="1" s="1"/>
  <c r="FR75" i="1"/>
  <c r="FX75" i="1" s="1"/>
  <c r="CK77" i="1"/>
  <c r="CM77" i="1" s="1"/>
  <c r="FR77" i="1"/>
  <c r="FX77" i="1" s="1"/>
  <c r="CK94" i="1"/>
  <c r="CM94" i="1" s="1"/>
  <c r="FR94" i="1"/>
  <c r="FX94" i="1" s="1"/>
  <c r="CK76" i="1"/>
  <c r="CM76" i="1" s="1"/>
  <c r="FR76" i="1"/>
  <c r="FX76" i="1" s="1"/>
  <c r="CK72" i="1"/>
  <c r="CM72" i="1" s="1"/>
  <c r="FR72" i="1"/>
  <c r="FX72" i="1" s="1"/>
  <c r="CK64" i="1"/>
  <c r="CM64" i="1" s="1"/>
  <c r="FR64" i="1"/>
  <c r="FX64" i="1" s="1"/>
  <c r="CK87" i="1"/>
  <c r="CM87" i="1" s="1"/>
  <c r="FR87" i="1"/>
  <c r="FX87" i="1" s="1"/>
  <c r="U31" i="1"/>
  <c r="Y31" i="1"/>
  <c r="CW102" i="1"/>
  <c r="CK38" i="1"/>
  <c r="CM38" i="1" s="1"/>
  <c r="BN38" i="1"/>
  <c r="CK88" i="1"/>
  <c r="CM88" i="1" s="1"/>
  <c r="AD104" i="1"/>
  <c r="AD108" i="1"/>
  <c r="W47" i="1"/>
  <c r="HI108" i="1"/>
  <c r="P152" i="1"/>
  <c r="B135" i="1"/>
  <c r="HQ44" i="1"/>
  <c r="HU44" i="1"/>
  <c r="CK52" i="1"/>
  <c r="CM52" i="1" s="1"/>
  <c r="BN52" i="1"/>
  <c r="CK48" i="1"/>
  <c r="CM48" i="1" s="1"/>
  <c r="BN48" i="1"/>
  <c r="CK43" i="1"/>
  <c r="CM43" i="1" s="1"/>
  <c r="BN43" i="1"/>
  <c r="HC2" i="1"/>
  <c r="CO74" i="1"/>
  <c r="CK47" i="1"/>
  <c r="CM47" i="1" s="1"/>
  <c r="D137" i="1"/>
  <c r="BN51" i="1"/>
  <c r="H137" i="1"/>
  <c r="P157" i="1"/>
  <c r="I137" i="1"/>
  <c r="P158" i="1"/>
  <c r="C137" i="1"/>
  <c r="G137" i="1"/>
  <c r="P156" i="1"/>
  <c r="F137" i="1"/>
  <c r="P155" i="1"/>
  <c r="E137" i="1"/>
  <c r="P154" i="1"/>
  <c r="X111" i="1"/>
  <c r="BN49" i="1"/>
  <c r="CK41" i="1"/>
  <c r="CM41" i="1" s="1"/>
  <c r="BN41" i="1"/>
  <c r="GG32" i="1"/>
  <c r="GG38" i="1"/>
  <c r="CO76" i="1"/>
  <c r="CO77" i="1"/>
  <c r="CO73" i="1"/>
  <c r="CO98" i="1"/>
  <c r="CO64" i="1"/>
  <c r="CO94" i="1"/>
  <c r="CO87" i="1"/>
  <c r="CO65" i="1"/>
  <c r="CO63" i="1"/>
  <c r="CO72" i="1"/>
  <c r="CO96" i="1"/>
  <c r="CK45" i="1"/>
  <c r="CM45" i="1" s="1"/>
  <c r="CK44" i="1"/>
  <c r="CM44" i="1" s="1"/>
  <c r="HU38" i="1"/>
  <c r="HC28" i="1"/>
  <c r="HC38" i="1"/>
  <c r="GM38" i="1"/>
  <c r="GI38" i="1"/>
  <c r="HC18" i="1"/>
  <c r="GI37" i="1"/>
  <c r="CO71" i="1"/>
  <c r="HU37" i="1"/>
  <c r="GI57" i="1"/>
  <c r="GH37" i="1"/>
  <c r="GM37" i="1"/>
  <c r="GI55" i="1"/>
  <c r="GM53" i="1"/>
  <c r="GG37" i="1"/>
  <c r="GS104" i="1"/>
  <c r="GG66" i="1"/>
  <c r="GG25" i="1"/>
  <c r="HQ2" i="1"/>
  <c r="GR104" i="1"/>
  <c r="GG9" i="1"/>
  <c r="GG51" i="1"/>
  <c r="GI32" i="1"/>
  <c r="HU18" i="1"/>
  <c r="GI51" i="1"/>
  <c r="GG18" i="1"/>
  <c r="GH18" i="1"/>
  <c r="GH51" i="1"/>
  <c r="HC32" i="1"/>
  <c r="HQ32" i="1"/>
  <c r="HU32" i="1"/>
  <c r="HC51" i="1"/>
  <c r="GI18" i="1"/>
  <c r="HC15" i="1"/>
  <c r="GG22" i="1"/>
  <c r="GI53" i="1"/>
  <c r="HM108" i="1"/>
  <c r="CK39" i="1"/>
  <c r="CM39" i="1" s="1"/>
  <c r="GS108" i="1"/>
  <c r="GH2" i="1"/>
  <c r="GH53" i="1"/>
  <c r="HC25" i="1"/>
  <c r="GG62" i="1"/>
  <c r="HD126" i="1"/>
  <c r="HG123" i="1"/>
  <c r="GM52" i="1"/>
  <c r="HC37" i="1"/>
  <c r="GG52" i="1"/>
  <c r="GW37" i="1"/>
  <c r="GH52" i="1"/>
  <c r="HU40" i="1"/>
  <c r="HQ28" i="1"/>
  <c r="HF108" i="1"/>
  <c r="GM55" i="1"/>
  <c r="GF108" i="1"/>
  <c r="GG55" i="1"/>
  <c r="GH57" i="1"/>
  <c r="GM57" i="1"/>
  <c r="GG27" i="1"/>
  <c r="HC57" i="1"/>
  <c r="GM40" i="1"/>
  <c r="CO49" i="1"/>
  <c r="GI28" i="1"/>
  <c r="HC55" i="1"/>
  <c r="HU57" i="1"/>
  <c r="GH21" i="1"/>
  <c r="GE108" i="1"/>
  <c r="HC22" i="1"/>
  <c r="GG21" i="1"/>
  <c r="HU12" i="1"/>
  <c r="HC12" i="1"/>
  <c r="GH22" i="1"/>
  <c r="HU21" i="1"/>
  <c r="GI22" i="1"/>
  <c r="GH26" i="1"/>
  <c r="HC21" i="1"/>
  <c r="GI12" i="1"/>
  <c r="GH12" i="1"/>
  <c r="HQ22" i="1"/>
  <c r="HG122" i="1"/>
  <c r="GI2" i="1"/>
  <c r="HU2" i="1"/>
  <c r="GG2" i="1"/>
  <c r="GG12" i="1"/>
  <c r="HQ26" i="1"/>
  <c r="HU26" i="1"/>
  <c r="HQ16" i="1"/>
  <c r="HC26" i="1"/>
  <c r="GG26" i="1"/>
  <c r="GH16" i="1"/>
  <c r="GL108" i="1"/>
  <c r="GI27" i="1"/>
  <c r="HQ38" i="1"/>
  <c r="GI23" i="1"/>
  <c r="GG15" i="1"/>
  <c r="HU28" i="1"/>
  <c r="HQ30" i="1"/>
  <c r="HQ25" i="1"/>
  <c r="HU25" i="1"/>
  <c r="GH25" i="1"/>
  <c r="HQ21" i="1"/>
  <c r="GW51" i="1"/>
  <c r="HU15" i="1"/>
  <c r="GI15" i="1"/>
  <c r="GH15" i="1"/>
  <c r="GH28" i="1"/>
  <c r="HC13" i="1"/>
  <c r="HC27" i="1"/>
  <c r="HQ27" i="1"/>
  <c r="GH27" i="1"/>
  <c r="HG125" i="1"/>
  <c r="GM45" i="1"/>
  <c r="HQ36" i="1"/>
  <c r="HU9" i="1"/>
  <c r="GI36" i="1"/>
  <c r="HQ42" i="1"/>
  <c r="HQ6" i="1"/>
  <c r="HC52" i="1"/>
  <c r="GH9" i="1"/>
  <c r="HC42" i="1"/>
  <c r="GG23" i="1"/>
  <c r="HU16" i="1"/>
  <c r="GI9" i="1"/>
  <c r="GH42" i="1"/>
  <c r="GG16" i="1"/>
  <c r="GI30" i="1"/>
  <c r="GG30" i="1"/>
  <c r="HU30" i="1"/>
  <c r="GI16" i="1"/>
  <c r="HC30" i="1"/>
  <c r="HU13" i="1"/>
  <c r="HQ13" i="1"/>
  <c r="GG13" i="1"/>
  <c r="GH13" i="1"/>
  <c r="GH36" i="1"/>
  <c r="HU36" i="1"/>
  <c r="GM36" i="1"/>
  <c r="GG36" i="1"/>
  <c r="GM51" i="1"/>
  <c r="HQ51" i="1"/>
  <c r="HQ23" i="1"/>
  <c r="HC23" i="1"/>
  <c r="GH23" i="1"/>
  <c r="HU6" i="1"/>
  <c r="CO39" i="1"/>
  <c r="CO70" i="1"/>
  <c r="CO43" i="1"/>
  <c r="GI33" i="1"/>
  <c r="HC33" i="1"/>
  <c r="GH33" i="1"/>
  <c r="HQ33" i="1"/>
  <c r="GG33" i="1"/>
  <c r="HU33" i="1"/>
  <c r="GG60" i="1"/>
  <c r="GM60" i="1"/>
  <c r="GZ126" i="1"/>
  <c r="GE104" i="1"/>
  <c r="CO101" i="1"/>
  <c r="HU45" i="1"/>
  <c r="HQ45" i="1"/>
  <c r="GM42" i="1"/>
  <c r="HQ9" i="1"/>
  <c r="GI42" i="1"/>
  <c r="GG42" i="1"/>
  <c r="GG17" i="1"/>
  <c r="GI17" i="1"/>
  <c r="HC17" i="1"/>
  <c r="HQ17" i="1"/>
  <c r="HU17" i="1"/>
  <c r="GH17" i="1"/>
  <c r="GH56" i="1"/>
  <c r="GG56" i="1"/>
  <c r="GM56" i="1"/>
  <c r="GI56" i="1"/>
  <c r="HC56" i="1"/>
  <c r="GH40" i="1"/>
  <c r="HC40" i="1"/>
  <c r="GG40" i="1"/>
  <c r="GI40" i="1"/>
  <c r="GF104" i="1"/>
  <c r="GG6" i="1"/>
  <c r="GI6" i="1"/>
  <c r="GH6" i="1"/>
  <c r="HC19" i="1"/>
  <c r="GH19" i="1"/>
  <c r="GG19" i="1"/>
  <c r="GI19" i="1"/>
  <c r="HU19" i="1"/>
  <c r="HQ19" i="1"/>
  <c r="GG24" i="1"/>
  <c r="GH24" i="1"/>
  <c r="HU24" i="1"/>
  <c r="HQ24" i="1"/>
  <c r="HC24" i="1"/>
  <c r="GI24" i="1"/>
  <c r="GG3" i="1"/>
  <c r="HU3" i="1"/>
  <c r="HQ3" i="1"/>
  <c r="GI3" i="1"/>
  <c r="GH3" i="1"/>
  <c r="HC3" i="1"/>
  <c r="HU7" i="1"/>
  <c r="HC7" i="1"/>
  <c r="GI7" i="1"/>
  <c r="HQ7" i="1"/>
  <c r="GH7" i="1"/>
  <c r="GG7" i="1"/>
  <c r="CK46" i="1"/>
  <c r="CM46" i="1" s="1"/>
  <c r="HU14" i="1"/>
  <c r="HC14" i="1"/>
  <c r="HQ14" i="1"/>
  <c r="GH14" i="1"/>
  <c r="GG14" i="1"/>
  <c r="GI14" i="1"/>
  <c r="HC54" i="1"/>
  <c r="GI54" i="1"/>
  <c r="GH54" i="1"/>
  <c r="GM54" i="1"/>
  <c r="GG54" i="1"/>
  <c r="GI46" i="1"/>
  <c r="HQ46" i="1"/>
  <c r="GH46" i="1"/>
  <c r="HC46" i="1"/>
  <c r="GG46" i="1"/>
  <c r="HU46" i="1"/>
  <c r="GM46" i="1"/>
  <c r="HQ41" i="1"/>
  <c r="HU41" i="1"/>
  <c r="GI41" i="1"/>
  <c r="GG41" i="1"/>
  <c r="HC41" i="1"/>
  <c r="GM41" i="1"/>
  <c r="GH41" i="1"/>
  <c r="C207" i="1"/>
  <c r="HU47" i="1"/>
  <c r="HC47" i="1"/>
  <c r="GH47" i="1"/>
  <c r="HQ47" i="1"/>
  <c r="GI47" i="1"/>
  <c r="GM47" i="1"/>
  <c r="GH39" i="1"/>
  <c r="GG39" i="1"/>
  <c r="HU39" i="1"/>
  <c r="GM39" i="1"/>
  <c r="HC39" i="1"/>
  <c r="GI39" i="1"/>
  <c r="HQ39" i="1"/>
  <c r="HQ8" i="1"/>
  <c r="HU8" i="1"/>
  <c r="GH8" i="1"/>
  <c r="HC8" i="1"/>
  <c r="GG8" i="1"/>
  <c r="GI8" i="1"/>
  <c r="CO51" i="1"/>
  <c r="HU4" i="1"/>
  <c r="GI4" i="1"/>
  <c r="HC4" i="1"/>
  <c r="GG4" i="1"/>
  <c r="GH4" i="1"/>
  <c r="HQ4" i="1"/>
  <c r="CO46" i="1"/>
  <c r="HQ104" i="1" l="1"/>
  <c r="CK102" i="1"/>
  <c r="CM102" i="1" s="1"/>
  <c r="FR102" i="1"/>
  <c r="FX102" i="1" s="1"/>
  <c r="AK108" i="1"/>
  <c r="G111" i="1"/>
  <c r="GX108" i="1"/>
  <c r="T109" i="1"/>
  <c r="AF109" i="1"/>
  <c r="AE109" i="1"/>
  <c r="HH108" i="1"/>
  <c r="GQ108" i="1"/>
  <c r="HN108" i="1"/>
  <c r="HG108" i="1"/>
  <c r="GO109" i="1"/>
  <c r="GI108" i="1"/>
  <c r="GF111" i="1"/>
  <c r="GF112" i="1"/>
  <c r="BN57" i="1"/>
  <c r="CK49" i="1"/>
  <c r="CM49" i="1" s="1"/>
  <c r="GG108" i="1"/>
  <c r="HP108" i="1"/>
  <c r="HG126" i="1"/>
  <c r="GW104" i="1"/>
  <c r="GW108" i="1"/>
  <c r="GH108" i="1"/>
  <c r="GZ109" i="1"/>
  <c r="HU108" i="1"/>
  <c r="HC104" i="1"/>
  <c r="GG104" i="1"/>
  <c r="HU104" i="1"/>
  <c r="GF113" i="1" l="1"/>
</calcChain>
</file>

<file path=xl/comments1.xml><?xml version="1.0" encoding="utf-8"?>
<comments xmlns="http://schemas.openxmlformats.org/spreadsheetml/2006/main">
  <authors>
    <author>Nathalie BLANDINO</author>
  </authors>
  <commentList>
    <comment ref="GE17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2 368 881</t>
        </r>
      </text>
    </comment>
    <comment ref="HT19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280712</t>
        </r>
      </text>
    </comment>
    <comment ref="GY22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Q28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hors assainissement</t>
        </r>
      </text>
    </comment>
    <comment ref="IT35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13/09/17</t>
        </r>
      </text>
    </comment>
    <comment ref="IV35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13/09/17</t>
        </r>
      </text>
    </comment>
    <comment ref="IR39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28/08/17</t>
        </r>
      </text>
    </comment>
    <comment ref="IP42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01/09/17</t>
        </r>
      </text>
    </comment>
    <comment ref="IP46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07/09/17</t>
        </r>
      </text>
    </comment>
    <comment ref="IO47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terrassements</t>
        </r>
      </text>
    </comment>
    <comment ref="IP47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09/10/17</t>
        </r>
      </text>
    </comment>
    <comment ref="FF50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19/10/17</t>
        </r>
      </text>
    </comment>
    <comment ref="IT50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AF 19/10/17</t>
        </r>
      </text>
    </comment>
    <comment ref="GK51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assiette défisc</t>
        </r>
      </text>
    </comment>
    <comment ref="IU51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partie</t>
        </r>
      </text>
    </comment>
    <comment ref="AJ54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2433,5 arrêté</t>
        </r>
      </text>
    </comment>
    <comment ref="EY54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y/c fondations</t>
        </r>
      </text>
    </comment>
    <comment ref="IM54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y/c fondations</t>
        </r>
      </text>
    </comment>
    <comment ref="EB55" authorId="0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16/12/16</t>
        </r>
      </text>
    </comment>
  </commentList>
</comments>
</file>

<file path=xl/sharedStrings.xml><?xml version="1.0" encoding="utf-8"?>
<sst xmlns="http://schemas.openxmlformats.org/spreadsheetml/2006/main" count="3880" uniqueCount="1957">
  <si>
    <t>OPERATION</t>
  </si>
  <si>
    <t>COMMUNE</t>
  </si>
  <si>
    <t>CODE</t>
  </si>
  <si>
    <t>N</t>
  </si>
  <si>
    <t>Structure</t>
  </si>
  <si>
    <t>Arrangeur</t>
  </si>
  <si>
    <t>Convention CAF</t>
  </si>
  <si>
    <t>Arrêté LBU</t>
  </si>
  <si>
    <t>Date Dépôt DRFIP</t>
  </si>
  <si>
    <t>CAO</t>
  </si>
  <si>
    <t>RO</t>
  </si>
  <si>
    <t>OFOI</t>
  </si>
  <si>
    <t>INGEPAR</t>
  </si>
  <si>
    <t>Notaire Terrain</t>
  </si>
  <si>
    <t>Signature Acte</t>
  </si>
  <si>
    <t>LLS</t>
  </si>
  <si>
    <t>LLTS</t>
  </si>
  <si>
    <t>ECART PRP</t>
  </si>
  <si>
    <t>ECART DEFISC</t>
  </si>
  <si>
    <t>BE PRIORISE</t>
  </si>
  <si>
    <t>ECART BE</t>
  </si>
  <si>
    <t>% BE / PRP</t>
  </si>
  <si>
    <t>FONCIER</t>
  </si>
  <si>
    <t>CONSTRUCTION</t>
  </si>
  <si>
    <t>ECART PRÊT</t>
  </si>
  <si>
    <t>ECART LBU y/c CAF</t>
  </si>
  <si>
    <t>ECART LBU/lgt</t>
  </si>
  <si>
    <t xml:space="preserve">Manapany </t>
  </si>
  <si>
    <t>St Joseph</t>
  </si>
  <si>
    <t>PRLC 0111</t>
  </si>
  <si>
    <t>FHO</t>
  </si>
  <si>
    <t>St Philippe</t>
  </si>
  <si>
    <t>PRLC 0093</t>
  </si>
  <si>
    <t>Takamaka</t>
  </si>
  <si>
    <t>St Leu</t>
  </si>
  <si>
    <t>Tampon</t>
  </si>
  <si>
    <t>PRLC 0139</t>
  </si>
  <si>
    <t>FMA</t>
  </si>
  <si>
    <t>PIVET-VELIN</t>
  </si>
  <si>
    <t>PRLC 0147</t>
  </si>
  <si>
    <t>Etang-Salé</t>
  </si>
  <si>
    <t>Trois Bassins</t>
  </si>
  <si>
    <t>PRLC 0149</t>
  </si>
  <si>
    <t>Palissandre</t>
  </si>
  <si>
    <t>PRLC 0110</t>
  </si>
  <si>
    <t>Rue de l'Eglise</t>
  </si>
  <si>
    <t>Entre-Deux</t>
  </si>
  <si>
    <t>PRLC 0148</t>
  </si>
  <si>
    <t>St Paul</t>
  </si>
  <si>
    <t>PRLC 0140</t>
  </si>
  <si>
    <t>Tamariniers</t>
  </si>
  <si>
    <t>PRLC 0113</t>
  </si>
  <si>
    <t>Parc à Moutons</t>
  </si>
  <si>
    <t>PRLC 0121</t>
  </si>
  <si>
    <t>Josepha Fontaine</t>
  </si>
  <si>
    <t>PRLC 0122</t>
  </si>
  <si>
    <t>Amaryllis</t>
  </si>
  <si>
    <t>PRLC 0109</t>
  </si>
  <si>
    <t>YFR</t>
  </si>
  <si>
    <t>N opér°</t>
  </si>
  <si>
    <t>N lgt</t>
  </si>
  <si>
    <t>LBU</t>
  </si>
  <si>
    <t>Propriétaire</t>
  </si>
  <si>
    <t>EPFR</t>
  </si>
  <si>
    <t>SODEGIS</t>
  </si>
  <si>
    <t>Commune</t>
  </si>
  <si>
    <t>Pivet-Velin</t>
  </si>
  <si>
    <t>Commune / MOREL</t>
  </si>
  <si>
    <t>AUBERT</t>
  </si>
  <si>
    <t>EPFR / RUET</t>
  </si>
  <si>
    <t>BARET</t>
  </si>
  <si>
    <t>POPINEAU</t>
  </si>
  <si>
    <t>LE GOFF</t>
  </si>
  <si>
    <t>SF</t>
  </si>
  <si>
    <t>PRP /m² SF</t>
  </si>
  <si>
    <t>Prog</t>
  </si>
  <si>
    <t xml:space="preserve">Avenue Raymond Barre </t>
  </si>
  <si>
    <t>Desiré 2</t>
  </si>
  <si>
    <t xml:space="preserve">Sceau de Salomon </t>
  </si>
  <si>
    <t>Bouton d'Or (Tampon 15e km)</t>
  </si>
  <si>
    <t>Le Cap (BH 228)</t>
  </si>
  <si>
    <t xml:space="preserve">Laurency </t>
  </si>
  <si>
    <t>Petite-Ile</t>
  </si>
  <si>
    <t>PRLC 0116</t>
  </si>
  <si>
    <t>PRLC 0133</t>
  </si>
  <si>
    <t>PRLC 0114</t>
  </si>
  <si>
    <t>PRLC 0090</t>
  </si>
  <si>
    <t>PRLC 0128</t>
  </si>
  <si>
    <t>PRLC 0107</t>
  </si>
  <si>
    <t>PRLC 0117</t>
  </si>
  <si>
    <t>PRLC 0104</t>
  </si>
  <si>
    <t>PRLC 0135</t>
  </si>
  <si>
    <t>PRLC 0101</t>
  </si>
  <si>
    <t>PRLC 0138</t>
  </si>
  <si>
    <t>SGM</t>
  </si>
  <si>
    <t>Poker d'As LLS</t>
  </si>
  <si>
    <t>Poker d'As LLTS</t>
  </si>
  <si>
    <t>Étiquettes de lignes</t>
  </si>
  <si>
    <t>Total général</t>
  </si>
  <si>
    <t>Étiquettes de colonnes</t>
  </si>
  <si>
    <t xml:space="preserve">PRP TTC </t>
  </si>
  <si>
    <t>BE</t>
  </si>
  <si>
    <t xml:space="preserve">DEFISC </t>
  </si>
  <si>
    <t xml:space="preserve">PRÊT </t>
  </si>
  <si>
    <t xml:space="preserve">LBU y/c CAF </t>
  </si>
  <si>
    <t xml:space="preserve">LBU / lgt
</t>
  </si>
  <si>
    <t xml:space="preserve">Lavoir </t>
  </si>
  <si>
    <t>St Pierre</t>
  </si>
  <si>
    <t>PRLC 0105</t>
  </si>
  <si>
    <t>PRLC 0100</t>
  </si>
  <si>
    <t>PRLC 0123</t>
  </si>
  <si>
    <t>PRLC 0094</t>
  </si>
  <si>
    <t>PRLC 0124</t>
  </si>
  <si>
    <t>NBL</t>
  </si>
  <si>
    <t xml:space="preserve">P'titCanal  LLS       </t>
  </si>
  <si>
    <t>P'titCanal         LLTS</t>
  </si>
  <si>
    <t>BASSIN</t>
  </si>
  <si>
    <t>CA SUD</t>
  </si>
  <si>
    <t>TCO</t>
  </si>
  <si>
    <t>CIVIS</t>
  </si>
  <si>
    <t>TOTAL</t>
  </si>
  <si>
    <t>Altitude</t>
  </si>
  <si>
    <t>Pente</t>
  </si>
  <si>
    <t>SF / lgt</t>
  </si>
  <si>
    <t>Pkgs couverts</t>
  </si>
  <si>
    <t>oui</t>
  </si>
  <si>
    <t>non</t>
  </si>
  <si>
    <t>FRAFU</t>
  </si>
  <si>
    <t>AIDES ETAT / lgt</t>
  </si>
  <si>
    <t>TYPE</t>
  </si>
  <si>
    <t>SF priorisée</t>
  </si>
  <si>
    <t>LOGIS 4</t>
  </si>
  <si>
    <t>Dubois</t>
  </si>
  <si>
    <t>ok</t>
  </si>
  <si>
    <t>Priorisation</t>
  </si>
  <si>
    <t>PRP / lgt</t>
  </si>
  <si>
    <t>DEFISC / lgt</t>
  </si>
  <si>
    <t>PRÊT / lgt</t>
  </si>
  <si>
    <t>SUBVENTION COLLECTIVITE FRAFU</t>
  </si>
  <si>
    <t>FONDS PROPRES FRAFU</t>
  </si>
  <si>
    <t>AIDES PUBLIQUES / lgt</t>
  </si>
  <si>
    <t>LS 74</t>
  </si>
  <si>
    <t>Notaire VEFA</t>
  </si>
  <si>
    <t>QUINOT</t>
  </si>
  <si>
    <t>LS 75</t>
  </si>
  <si>
    <t>FONDS PROPRES CONSTRUCTION</t>
  </si>
  <si>
    <t>FANFAN</t>
  </si>
  <si>
    <t>LS 76</t>
  </si>
  <si>
    <t>DUBOIS</t>
  </si>
  <si>
    <t>BARET/GILLOT</t>
  </si>
  <si>
    <t>LOGIS 5</t>
  </si>
  <si>
    <t>BBL</t>
  </si>
  <si>
    <t>LS 73</t>
  </si>
  <si>
    <t>DOMBEYA 3</t>
  </si>
  <si>
    <t>MAREL</t>
  </si>
  <si>
    <t>LS 77</t>
  </si>
  <si>
    <t>Dde édition prêt</t>
  </si>
  <si>
    <t>JULES VIENNE</t>
  </si>
  <si>
    <t>DESIRE</t>
  </si>
  <si>
    <t>PRLC 0099</t>
  </si>
  <si>
    <t>PRP FRAFU hors TVA résiduelle</t>
  </si>
  <si>
    <t>PRLC 0098</t>
  </si>
  <si>
    <t>S espaces verts collectifs</t>
  </si>
  <si>
    <t>PRÊT 1 %</t>
  </si>
  <si>
    <t>AUTRES SUBVENTIONS</t>
  </si>
  <si>
    <t>PRLC 0160</t>
  </si>
  <si>
    <t>PRLC 0156</t>
  </si>
  <si>
    <t>St Louis</t>
  </si>
  <si>
    <t>PRLC 0159</t>
  </si>
  <si>
    <t>AX 18</t>
  </si>
  <si>
    <t>PRLC 0153</t>
  </si>
  <si>
    <t>Terrain Michel CV</t>
  </si>
  <si>
    <t>PRLC 0151</t>
  </si>
  <si>
    <t>PRLC 0155</t>
  </si>
  <si>
    <t>Somme de FONDS PROPRES CONSTRUCTION</t>
  </si>
  <si>
    <t>PRP GLOBAL</t>
  </si>
  <si>
    <t>% LBU / PRP</t>
  </si>
  <si>
    <t>SO</t>
  </si>
  <si>
    <t>CESSION FONCIERE</t>
  </si>
  <si>
    <t>Contrat de prêt</t>
  </si>
  <si>
    <t xml:space="preserve"> </t>
  </si>
  <si>
    <t>GPA</t>
  </si>
  <si>
    <t>Tvx</t>
  </si>
  <si>
    <t>APD</t>
  </si>
  <si>
    <t>AO</t>
  </si>
  <si>
    <t>PRO</t>
  </si>
  <si>
    <t>Transmission garanties à CDC</t>
  </si>
  <si>
    <t>CR + CASUD = 19/12/13
CG = 15/01/14
Commune = 15/01/14</t>
  </si>
  <si>
    <t>SRI</t>
  </si>
  <si>
    <t>NLE</t>
  </si>
  <si>
    <t>DBE</t>
  </si>
  <si>
    <t>BELLANGER</t>
  </si>
  <si>
    <t>Loyer max</t>
  </si>
  <si>
    <t>Loyer d'équilibre</t>
  </si>
  <si>
    <t>% AIDES PUBLIQUES</t>
  </si>
  <si>
    <t xml:space="preserve">PRP TTC  </t>
  </si>
  <si>
    <t>ZONAGE</t>
  </si>
  <si>
    <t>UB</t>
  </si>
  <si>
    <t>S TERRAIN</t>
  </si>
  <si>
    <t>S ANC</t>
  </si>
  <si>
    <t>S EMPRISE</t>
  </si>
  <si>
    <t>N niveaux lgt y/c RDC</t>
  </si>
  <si>
    <t>UD</t>
  </si>
  <si>
    <t>UA</t>
  </si>
  <si>
    <t>4/5</t>
  </si>
  <si>
    <t>AU5b</t>
  </si>
  <si>
    <t>NAUD</t>
  </si>
  <si>
    <t>Aub</t>
  </si>
  <si>
    <t>MICHEL</t>
  </si>
  <si>
    <t>PRLC 0161</t>
  </si>
  <si>
    <t>CAF</t>
  </si>
  <si>
    <t xml:space="preserve">CR + CASUD = 19/12/13
CG = 15/01/14
CM = OK - mank attest° affichage
</t>
  </si>
  <si>
    <t>ANC</t>
  </si>
  <si>
    <t xml:space="preserve">LBU </t>
  </si>
  <si>
    <t>PRIX m² SF</t>
  </si>
  <si>
    <t>UC</t>
  </si>
  <si>
    <t>UAa</t>
  </si>
  <si>
    <t>NAUC</t>
  </si>
  <si>
    <t>UCa</t>
  </si>
  <si>
    <t>U3</t>
  </si>
  <si>
    <t>NAU</t>
  </si>
  <si>
    <t>Emprise ANC</t>
  </si>
  <si>
    <t>PRIX TERRAIN AMENAGE</t>
  </si>
  <si>
    <t>PRIX TERRAIN BRUT</t>
  </si>
  <si>
    <t>PRIX m² terrain aménagé</t>
  </si>
  <si>
    <t>PRIX m² terrain brut</t>
  </si>
  <si>
    <t>T1</t>
  </si>
  <si>
    <t>T2</t>
  </si>
  <si>
    <t>T3</t>
  </si>
  <si>
    <t>T4</t>
  </si>
  <si>
    <t>T5</t>
  </si>
  <si>
    <t>M² TERRAIN / LGT</t>
  </si>
  <si>
    <t>LBU+Défisc/lgt</t>
  </si>
  <si>
    <t>LS 12</t>
  </si>
  <si>
    <t>LS 5</t>
  </si>
  <si>
    <t>LOGIS 1</t>
  </si>
  <si>
    <t>LOGIS 2</t>
  </si>
  <si>
    <t>LS 55</t>
  </si>
  <si>
    <t>LOGIS 3</t>
  </si>
  <si>
    <t>LS 20</t>
  </si>
  <si>
    <t>LS 19</t>
  </si>
  <si>
    <t>LS 44</t>
  </si>
  <si>
    <t>LS 11</t>
  </si>
  <si>
    <t>LS 56</t>
  </si>
  <si>
    <t>LS 4</t>
  </si>
  <si>
    <t>LS 97</t>
  </si>
  <si>
    <r>
      <t xml:space="preserve">VEFA </t>
    </r>
    <r>
      <rPr>
        <b/>
        <sz val="11"/>
        <rFont val="Calibri"/>
        <family val="2"/>
        <scheme val="minor"/>
      </rPr>
      <t>Petunias</t>
    </r>
  </si>
  <si>
    <t>LS 101</t>
  </si>
  <si>
    <t>DENSITE</t>
  </si>
  <si>
    <t>IONIQUE 4</t>
  </si>
  <si>
    <t>PRIX VEFA HT</t>
  </si>
  <si>
    <t>PRIX AMENAGE/ LGT</t>
  </si>
  <si>
    <t>PRLC 0166</t>
  </si>
  <si>
    <t>ESQ</t>
  </si>
  <si>
    <t>BY 100</t>
  </si>
  <si>
    <t>SNC DORIQUE</t>
  </si>
  <si>
    <t>?</t>
  </si>
  <si>
    <t>PRLC 0171</t>
  </si>
  <si>
    <t xml:space="preserve">Bras Moutons </t>
  </si>
  <si>
    <t>LS 79</t>
  </si>
  <si>
    <t>LOGIS 7</t>
  </si>
  <si>
    <t>INTERINVEST</t>
  </si>
  <si>
    <t>Aubépines</t>
  </si>
  <si>
    <t>Ilot 6.2</t>
  </si>
  <si>
    <t>DCE</t>
  </si>
  <si>
    <t>patrimoine</t>
  </si>
  <si>
    <t>PRLC 0129</t>
  </si>
  <si>
    <t>PRLC 0157</t>
  </si>
  <si>
    <t>PRLC 0173</t>
  </si>
  <si>
    <t>PRLC 0167</t>
  </si>
  <si>
    <t>PRLC 0174</t>
  </si>
  <si>
    <t>Dde dossier Ass</t>
  </si>
  <si>
    <t>Signature VEFA / Placement defisc</t>
  </si>
  <si>
    <t>Risque de recours des 1/3 sur PA (en cours de signature par le maire</t>
  </si>
  <si>
    <t>Travaux</t>
  </si>
  <si>
    <t>OS</t>
  </si>
  <si>
    <t>22/10/2014
cr 24/11/14 - modif à faire</t>
  </si>
  <si>
    <t>Avirons</t>
  </si>
  <si>
    <t>28/10/2014
12/01/15</t>
  </si>
  <si>
    <t>UB4</t>
  </si>
  <si>
    <t>Lacaussade 3</t>
  </si>
  <si>
    <t xml:space="preserve">PRIX BRUT / LGT </t>
  </si>
  <si>
    <t>RPA mixte St Philippe</t>
  </si>
  <si>
    <t>Tx rétrocession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</si>
  <si>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LOULOU PITOU (LA SAFRANIERE)</t>
    </r>
  </si>
  <si>
    <t>23/01/2015
transmis à DAF 11/03/15</t>
  </si>
  <si>
    <t>Limite validité Ct prêt</t>
  </si>
  <si>
    <t>Phase</t>
  </si>
  <si>
    <t>LOGIS 9</t>
  </si>
  <si>
    <t>PRLC 0176</t>
  </si>
  <si>
    <t>Etat</t>
  </si>
  <si>
    <t>MOUTIEN</t>
  </si>
  <si>
    <t>Paille en Queue</t>
  </si>
  <si>
    <t>Verveine des Indes (Ilôt 5.1)</t>
  </si>
  <si>
    <t>FAHAM (Ilôt 5.6)</t>
  </si>
  <si>
    <t>Z'ambaville (AX 18)</t>
  </si>
  <si>
    <t>CIVIS 25/05/15
Région 12/06/15
Commune 29/06/15
CG 30/06/15</t>
  </si>
  <si>
    <t>EGI</t>
  </si>
  <si>
    <t>SNC ALESIA 1</t>
  </si>
  <si>
    <t>SNC ALESIA 6</t>
  </si>
  <si>
    <t>LS 118</t>
  </si>
  <si>
    <t>Transmission Ct Prêt à DAF</t>
  </si>
  <si>
    <t>PRLC 0178</t>
  </si>
  <si>
    <t>PRLC 0179</t>
  </si>
  <si>
    <t>OS démarrage</t>
  </si>
  <si>
    <t>Date réception entreprises</t>
  </si>
  <si>
    <t>Date RDC GL</t>
  </si>
  <si>
    <t>Fin GPA</t>
  </si>
  <si>
    <t>RDV pré-clôture avec RO</t>
  </si>
  <si>
    <t>Transmission budget pré-clôture DAF</t>
  </si>
  <si>
    <t>RDV clôture avec RO</t>
  </si>
  <si>
    <t>Transmission budget DAF</t>
  </si>
  <si>
    <t>attente doc signé</t>
  </si>
  <si>
    <t>25/09/2014 : à détailler plus</t>
  </si>
  <si>
    <t>13/10/14 DPR</t>
  </si>
  <si>
    <t>14/10/14 DPR</t>
  </si>
  <si>
    <t>7/9/15 - correctifs à apporter</t>
  </si>
  <si>
    <r>
      <rPr>
        <b/>
        <sz val="11"/>
        <color rgb="FFFF0000"/>
        <rFont val="Calibri"/>
        <family val="2"/>
        <scheme val="minor"/>
      </rPr>
      <t>VEFA LLS</t>
    </r>
    <r>
      <rPr>
        <b/>
        <sz val="11"/>
        <rFont val="Calibri"/>
        <family val="2"/>
        <scheme val="minor"/>
      </rPr>
      <t xml:space="preserve"> 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</si>
  <si>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 LLTS</t>
    </r>
    <r>
      <rPr>
        <b/>
        <sz val="11"/>
        <rFont val="Calibri"/>
        <family val="2"/>
        <scheme val="minor"/>
      </rPr>
      <t xml:space="preserve"> Les Rosiers</t>
    </r>
    <r>
      <rPr>
        <b/>
        <sz val="11"/>
        <color rgb="FFFF0000"/>
        <rFont val="Calibri"/>
        <family val="2"/>
        <scheme val="minor"/>
      </rPr>
      <t xml:space="preserve">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</si>
  <si>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Oiseaux du Paradis 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</si>
  <si>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Les Pechers </t>
    </r>
  </si>
  <si>
    <t>Fleurs jaunes (Ilôt 6.1)</t>
  </si>
  <si>
    <t>Archi conseil DEAL</t>
  </si>
  <si>
    <t>CA</t>
  </si>
  <si>
    <t>Clôture DO</t>
  </si>
  <si>
    <t>DAT</t>
  </si>
  <si>
    <t>Avenant global</t>
  </si>
  <si>
    <t>PRLC 0181</t>
  </si>
  <si>
    <t>PRLC 0180</t>
  </si>
  <si>
    <t>Transmission à DAF</t>
  </si>
  <si>
    <t>Ville 18/03/15
Région 17/06/15
CG 30/06/15
CASUD 29/09/15</t>
  </si>
  <si>
    <t>17/02/2014
09/10/14</t>
  </si>
  <si>
    <t>en cours</t>
  </si>
  <si>
    <t>DGD</t>
  </si>
  <si>
    <t>Date limite d'utilisation des fonds</t>
  </si>
  <si>
    <t>à faire</t>
  </si>
  <si>
    <t>CASUD = 02/07/14
CG : OK
Région : OK
Mairie : OK</t>
  </si>
  <si>
    <t>Transmission patrimoine</t>
  </si>
  <si>
    <t>05/03/2014
07/10/14</t>
  </si>
  <si>
    <t>Jules Arlandas (Alamandas)</t>
  </si>
  <si>
    <t>FBR</t>
  </si>
  <si>
    <t>DOE</t>
  </si>
  <si>
    <t>20/03/2014 &amp; 06/11/14
13/10/15</t>
  </si>
  <si>
    <t>x</t>
  </si>
  <si>
    <t>Mairie 02/11/15</t>
  </si>
  <si>
    <t>CONTRÔLE DEAL</t>
  </si>
  <si>
    <t>PARCELLE</t>
  </si>
  <si>
    <t>BX 855</t>
  </si>
  <si>
    <t>RPA Du Parc</t>
  </si>
  <si>
    <t>07/06/2012
06/11/15</t>
  </si>
  <si>
    <t>conv° réserv° 17/09/15
G 09/11/15</t>
  </si>
  <si>
    <t>19/06/2014
18/11/15</t>
  </si>
  <si>
    <t>PRLC 0165</t>
  </si>
  <si>
    <t>RFCT</t>
  </si>
  <si>
    <t>LOGIS 8</t>
  </si>
  <si>
    <t>AVANCEMENT</t>
  </si>
  <si>
    <t>ASSISTANTE</t>
  </si>
  <si>
    <t>Attestation conformité Mairie</t>
  </si>
  <si>
    <t>Loyer mensuel</t>
  </si>
  <si>
    <t>Transmission Fiche Pgr GL</t>
  </si>
  <si>
    <t>Tamariniers LLS</t>
  </si>
  <si>
    <t>Tamariniers LLTS</t>
  </si>
  <si>
    <t>Barrage LLTS</t>
  </si>
  <si>
    <t>Barrage LLS</t>
  </si>
  <si>
    <t>Délai chantier réel</t>
  </si>
  <si>
    <t>Délai chantier initial</t>
  </si>
  <si>
    <t>Perte loyer</t>
  </si>
  <si>
    <t>dossier transmis</t>
  </si>
  <si>
    <t>Mail 16/12/15</t>
  </si>
  <si>
    <t xml:space="preserve">Les Platanes </t>
  </si>
  <si>
    <t xml:space="preserve">env DEAL 2015 </t>
  </si>
  <si>
    <t>P1</t>
  </si>
  <si>
    <t>P2</t>
  </si>
  <si>
    <t xml:space="preserve">env DEAL 2014 </t>
  </si>
  <si>
    <t>AS 603</t>
  </si>
  <si>
    <t>BO 206-352</t>
  </si>
  <si>
    <t>AO 433</t>
  </si>
  <si>
    <t>AH 449 à 451</t>
  </si>
  <si>
    <t xml:space="preserve">Hortensias </t>
  </si>
  <si>
    <t>Amata (HE 168)</t>
  </si>
  <si>
    <t>CD 61 Rue Bertaut LLTS</t>
  </si>
  <si>
    <t>AF FONDATIONS</t>
  </si>
  <si>
    <t>DATE LIMITE DAT</t>
  </si>
  <si>
    <t>16/12/15 Région
20/01/16 CG
25/01/16 Mairie
10/02/16 CASUD</t>
  </si>
  <si>
    <t>TCO 08/01/2016</t>
  </si>
  <si>
    <t>DQ 2016</t>
  </si>
  <si>
    <t>Livraison</t>
  </si>
  <si>
    <t>ILOT 5.1</t>
  </si>
  <si>
    <t>ILOT 6.1</t>
  </si>
  <si>
    <t>ILOT 5.6</t>
  </si>
  <si>
    <t>PSP</t>
  </si>
  <si>
    <t>L3</t>
  </si>
  <si>
    <t>ILOT 6.2</t>
  </si>
  <si>
    <t>Manapany</t>
  </si>
  <si>
    <t>Amata</t>
  </si>
  <si>
    <t>CD 61</t>
  </si>
  <si>
    <t>Poker As 2</t>
  </si>
  <si>
    <t>Boutons d'Or</t>
  </si>
  <si>
    <t>Fanfan</t>
  </si>
  <si>
    <t>RDE</t>
  </si>
  <si>
    <t>Le Cap</t>
  </si>
  <si>
    <t>Transmission VEFA à DAF</t>
  </si>
  <si>
    <t>doc jur 30/11/15</t>
  </si>
  <si>
    <t>RDV RO DDAD</t>
  </si>
  <si>
    <t>LYCEE SCHOELCHER</t>
  </si>
  <si>
    <t>REHAB BAT M</t>
  </si>
  <si>
    <t>Pepinière d'entreprises Tranche 2</t>
  </si>
  <si>
    <t>SOBEPRE</t>
  </si>
  <si>
    <t>RHI BC</t>
  </si>
  <si>
    <t>17/11/2015
27/01/16
15/03/16</t>
  </si>
  <si>
    <t>07/12/2015
15/03/16</t>
  </si>
  <si>
    <t xml:space="preserve">PC 95 </t>
  </si>
  <si>
    <t xml:space="preserve">PC 97 </t>
  </si>
  <si>
    <t>BH 228</t>
  </si>
  <si>
    <t>CX 671 / 1141</t>
  </si>
  <si>
    <t>CF 549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</si>
  <si>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</si>
  <si>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Archivage</t>
  </si>
  <si>
    <t>MICHEL plus OK</t>
  </si>
  <si>
    <t>APU</t>
  </si>
  <si>
    <t>acte signé</t>
  </si>
  <si>
    <t>convention paroi clouée OK / notaire doit rédiger une constitution de servitude</t>
  </si>
  <si>
    <t>30/06/2014
08/04/16</t>
  </si>
  <si>
    <t>FVA</t>
  </si>
  <si>
    <t>ADE</t>
  </si>
  <si>
    <t>Jean MOREL (Amaryllis)</t>
  </si>
  <si>
    <t>Max GOBETTI (AUBEPINES)</t>
  </si>
  <si>
    <t>Lié ETHEVE (Poker As 2)</t>
  </si>
  <si>
    <t>clôture défisc</t>
  </si>
  <si>
    <t>Travaux / Expro</t>
  </si>
  <si>
    <t>Assistantes</t>
  </si>
  <si>
    <t xml:space="preserve">Travaux  </t>
  </si>
  <si>
    <t>Lotissement Montvert</t>
  </si>
  <si>
    <t>Etude</t>
  </si>
  <si>
    <t>attente retour conv° garantie par signée CG &amp; transmise au CG 11/05/16</t>
  </si>
  <si>
    <t>16/12/15 Région 
16/12/15 Commune
10/02/16 CIVIS
11/05/16 CG</t>
  </si>
  <si>
    <t>16/10/2014
20/05/2016</t>
  </si>
  <si>
    <t>HONORAIRES</t>
  </si>
  <si>
    <t>NH PROG</t>
  </si>
  <si>
    <t>NH APS</t>
  </si>
  <si>
    <t>NH PC</t>
  </si>
  <si>
    <t>NH APD</t>
  </si>
  <si>
    <t>NH PRO</t>
  </si>
  <si>
    <t>Résiliations marchés</t>
  </si>
  <si>
    <t>CD 61 Rue Bertaut LLS</t>
  </si>
  <si>
    <t>Plaine St Paul</t>
  </si>
  <si>
    <t>Délai inauguration</t>
  </si>
  <si>
    <t>Harry PAYET (Les Mimosas)</t>
  </si>
  <si>
    <t>AD 133</t>
  </si>
  <si>
    <t xml:space="preserve">Dakota </t>
  </si>
  <si>
    <t>EK 250</t>
  </si>
  <si>
    <t>Arizona</t>
  </si>
  <si>
    <t>CX 759 p</t>
  </si>
  <si>
    <t>Californie</t>
  </si>
  <si>
    <t>EK 286</t>
  </si>
  <si>
    <t>Faisa</t>
  </si>
  <si>
    <t>PRLC 0184</t>
  </si>
  <si>
    <t>PRLC 0185</t>
  </si>
  <si>
    <t>PRLC 0187</t>
  </si>
  <si>
    <t>PRLC 0186</t>
  </si>
  <si>
    <t>24/6/16 (mail)</t>
  </si>
  <si>
    <t>RTA</t>
  </si>
  <si>
    <t>CAL</t>
  </si>
  <si>
    <t>LOGIS 10</t>
  </si>
  <si>
    <t>ET 909 / 1256</t>
  </si>
  <si>
    <t>LS 119</t>
  </si>
  <si>
    <t>Date inauguration / livraison</t>
  </si>
  <si>
    <t>30/06/2014
09/09/16</t>
  </si>
  <si>
    <t>14/09/2016
retour 28/09 pour signature</t>
  </si>
  <si>
    <t>06/10/2016
renvoyé le 04/10/16 à CDC</t>
  </si>
  <si>
    <t>à déposer</t>
  </si>
  <si>
    <t>VEFA Loulou Pitou</t>
  </si>
  <si>
    <t>VEFA Paule &amp; Gaston</t>
  </si>
  <si>
    <t>Risques :
- faire lettres de non retenue pour VRD et GO
- EDD</t>
  </si>
  <si>
    <t>CUMUL</t>
  </si>
  <si>
    <t>Coco Huet (Parc à Moutons)</t>
  </si>
  <si>
    <t>20/10/2016 y/c certif adressage + plans</t>
  </si>
  <si>
    <t>INDIGO LLS</t>
  </si>
  <si>
    <t>INDIGO LLTS</t>
  </si>
  <si>
    <t>DD783 / 1298</t>
  </si>
  <si>
    <t>PLS</t>
  </si>
  <si>
    <t>EN 1337 p</t>
  </si>
  <si>
    <t>BW 683 p</t>
  </si>
  <si>
    <t>La Possession</t>
  </si>
  <si>
    <t>CESARIA</t>
  </si>
  <si>
    <t>CI 192</t>
  </si>
  <si>
    <t>Bougainvillées</t>
  </si>
  <si>
    <t>Rehab</t>
  </si>
  <si>
    <t>JER</t>
  </si>
  <si>
    <t>BT 607</t>
  </si>
  <si>
    <t>100 marches</t>
  </si>
  <si>
    <t>BR 617</t>
  </si>
  <si>
    <t>Caramboles</t>
  </si>
  <si>
    <t>AP 1375</t>
  </si>
  <si>
    <t>Hubert Delisle</t>
  </si>
  <si>
    <t>BR 1091</t>
  </si>
  <si>
    <t>Citronnelles</t>
  </si>
  <si>
    <t>BK 1082</t>
  </si>
  <si>
    <t>Bras des Etangs</t>
  </si>
  <si>
    <t>Cilaos</t>
  </si>
  <si>
    <t>AI 1718</t>
  </si>
  <si>
    <t>La Cure</t>
  </si>
  <si>
    <t>BN 781</t>
  </si>
  <si>
    <t>Canal Lilis</t>
  </si>
  <si>
    <t>Poinsétias</t>
  </si>
  <si>
    <t>Bellevue A-B-C</t>
  </si>
  <si>
    <t>Chapelle</t>
  </si>
  <si>
    <t>Casabianca</t>
  </si>
  <si>
    <t>BN 1004</t>
  </si>
  <si>
    <t>AS 1450</t>
  </si>
  <si>
    <t>BW 2862</t>
  </si>
  <si>
    <t>Chemin Galet 1</t>
  </si>
  <si>
    <t>Chemin Galet 2</t>
  </si>
  <si>
    <t>Les Orchidées</t>
  </si>
  <si>
    <t>Le Choka Bleu</t>
  </si>
  <si>
    <t>La Cure 2</t>
  </si>
  <si>
    <t>EN 823</t>
  </si>
  <si>
    <t>AP 1535</t>
  </si>
  <si>
    <t>01/09/2016 + 14/09</t>
  </si>
  <si>
    <t>VAF</t>
  </si>
  <si>
    <t>RAS</t>
  </si>
  <si>
    <t>envoi élements à Lydie 18/11/16</t>
  </si>
  <si>
    <t>env DEAL 2016</t>
  </si>
  <si>
    <t>Esparon</t>
  </si>
  <si>
    <t>Poudroux</t>
  </si>
  <si>
    <t>Acte sur BW 1750 / 1752 / 1789
manque les justificatifs sur les autres parcelles</t>
  </si>
  <si>
    <t>HOAREAU</t>
  </si>
  <si>
    <t>HOARAU</t>
  </si>
  <si>
    <t>29/04/1994
27/07/93</t>
  </si>
  <si>
    <t>BN 787 / 789 n'existent plus au cadastre</t>
  </si>
  <si>
    <t>Hoarau</t>
  </si>
  <si>
    <t>bail à construction sur AP 1558 qui concerne Foyer Casabianca</t>
  </si>
  <si>
    <t>Le Goff</t>
  </si>
  <si>
    <t>Moutien</t>
  </si>
  <si>
    <t>CN 286</t>
  </si>
  <si>
    <t>HOARAU
HOARAU
ESPARON</t>
  </si>
  <si>
    <t>13/05/1992
09/08/96
22/08/94</t>
  </si>
  <si>
    <t>BY 105
BY 1045
BY 888
manque bcp de justificatifs</t>
  </si>
  <si>
    <t>BY 1385 …</t>
  </si>
  <si>
    <t>BY 1389 …</t>
  </si>
  <si>
    <t>ESPARON</t>
  </si>
  <si>
    <t>BN 813 / 812</t>
  </si>
  <si>
    <t>manque justificatif BN 812</t>
  </si>
  <si>
    <t>pas de justificatif</t>
  </si>
  <si>
    <t>LAGOURGUE</t>
  </si>
  <si>
    <t>manque les autres parcelles</t>
  </si>
  <si>
    <t>BASTI</t>
  </si>
  <si>
    <t>dépôt de pièces divisant BN 419/420/421/422/423/782/783/825
manque titre de propriété des parcelles divisées</t>
  </si>
  <si>
    <t>AS 62, 63, 64, 513 v n'existent plus au cadastre</t>
  </si>
  <si>
    <t>lots à vendre : CA EPFR début 2017
LES : mise en demeure adressée à l'acquéreur faute de quoi classement du dossier</t>
  </si>
  <si>
    <t>abandon servitude EP - si débordement on avisera</t>
  </si>
  <si>
    <t>coordonnées des propriétaires limitrophes transmis à APU
courriers faits par BJE aux riverains pour une rencontre</t>
  </si>
  <si>
    <t>BT 130 / 319 / 111 : seule la BT 111 existe encore à ce jour
manque justificatifs des autres parcelles
récupérer fiche immeuble</t>
  </si>
  <si>
    <t>manque beaucoup de justificatifs
acte sur BR 570 / 571 qui n'existent plus
récupérer fiche immeuble</t>
  </si>
  <si>
    <t>AP 513 / AS 63 - 64 - n'existent plus au cadastre / manque des justificatifs
récupérer fiche immeuble</t>
  </si>
  <si>
    <t>pas de justificatif
récupérer fiche immeuble</t>
  </si>
  <si>
    <t>AE 44 / 45 /  46 / 48 n'existent plus au cadastre
récupérer fiche immeuble</t>
  </si>
  <si>
    <t>Début préfinancement</t>
  </si>
  <si>
    <t>Fin préfinancement</t>
  </si>
  <si>
    <t>1e échéance prêt</t>
  </si>
  <si>
    <t>PROBLEME</t>
  </si>
  <si>
    <t>NH VEFA</t>
  </si>
  <si>
    <t>NH OS</t>
  </si>
  <si>
    <t>dde pièces entr OK
lettre de rejet à la signature
signature marchés à compter du 23
pas reçu dossier marché</t>
  </si>
  <si>
    <t>avec OS</t>
  </si>
  <si>
    <t>OET</t>
  </si>
  <si>
    <t>Baux</t>
  </si>
  <si>
    <t>NH Fondations</t>
  </si>
  <si>
    <t>NH R+1</t>
  </si>
  <si>
    <t>IONIQUE 5</t>
  </si>
  <si>
    <t>PRLC 0163</t>
  </si>
  <si>
    <t>manque GAIA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</si>
  <si>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EQUILIBRE</t>
    </r>
  </si>
  <si>
    <t>24/02/2016
06/09/2016</t>
  </si>
  <si>
    <t>12/01/2017 mail
30/01/2017 papier</t>
  </si>
  <si>
    <t>env DEAL 2017</t>
  </si>
  <si>
    <t>LLS / LLTS</t>
  </si>
  <si>
    <t>30/08/2016
01/02/17</t>
  </si>
  <si>
    <t>20/02/2014
02/07/14
26/08/15
01/02/17</t>
  </si>
  <si>
    <t>PHBB</t>
  </si>
  <si>
    <t>INDIGO Tranche 1</t>
  </si>
  <si>
    <t>Transmission dossier H2 à GL</t>
  </si>
  <si>
    <t>pas de réseau EU</t>
  </si>
  <si>
    <t>courrier envoyé à la Mairie sur prix du foncier : pas de réponse</t>
  </si>
  <si>
    <t>réserves à lever</t>
  </si>
  <si>
    <t>attente notification de la réception</t>
  </si>
  <si>
    <t>manque 4 entreprises</t>
  </si>
  <si>
    <t>3 réserves à lever</t>
  </si>
  <si>
    <t>notifiés le 20/06/2016</t>
  </si>
  <si>
    <t>à faire après purge réserves RFCT</t>
  </si>
  <si>
    <t>Envoi papier : 23/12/16 (pièces complémentaires envoyées entre le 30/01 et le 09/02)</t>
  </si>
  <si>
    <t>non conformités à lever</t>
  </si>
  <si>
    <t>14/09/2016
21/02/16</t>
  </si>
  <si>
    <t>23/12/2016
21/02/17</t>
  </si>
  <si>
    <t>14/12/2016
21/02/17</t>
  </si>
  <si>
    <t>dossier envoyé 22/02/17</t>
  </si>
  <si>
    <t>sans P2</t>
  </si>
  <si>
    <t>ENV 2017</t>
  </si>
  <si>
    <t>37/38 000 000 €</t>
  </si>
  <si>
    <t>13/12/2016
23/02/17</t>
  </si>
  <si>
    <t>13/12/2016
24/02/17</t>
  </si>
  <si>
    <t xml:space="preserve">OK </t>
  </si>
  <si>
    <t>sauf Peinture</t>
  </si>
  <si>
    <t>demande 05/12/16</t>
  </si>
  <si>
    <t>12/12/2016
28/02/17</t>
  </si>
  <si>
    <t>à notifier semaine du 20/02/17
MD faites à 5 entreprises</t>
  </si>
  <si>
    <t>Année Inauguration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</si>
  <si>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Maurice Lebon</t>
    </r>
  </si>
  <si>
    <t>IMPREVUS AU DEMARRAGE</t>
  </si>
  <si>
    <t>22/12/2016
22/03/17</t>
  </si>
  <si>
    <t>NH HDE</t>
  </si>
  <si>
    <t>-</t>
  </si>
  <si>
    <t>MAIL 03/04/17</t>
  </si>
  <si>
    <t>MAIL 04/04/2017</t>
  </si>
  <si>
    <t>LIMITE AF FONDATIONS</t>
  </si>
  <si>
    <t>ACHEVEMENT VEFA</t>
  </si>
  <si>
    <t>PRLC 0193</t>
  </si>
  <si>
    <t>PRLC 0194</t>
  </si>
  <si>
    <t>PRLC 0195</t>
  </si>
  <si>
    <t>Type Habitat</t>
  </si>
  <si>
    <t>MDV</t>
  </si>
  <si>
    <t>collectif</t>
  </si>
  <si>
    <t>vente des lots à faire : signature SICA en mai 2017
voie à rétrocéder à l'issue du contentieux</t>
  </si>
  <si>
    <t>servitude PERRAU à mettre en place
rétrocession zone N à faire</t>
  </si>
  <si>
    <t>30/08/2016
01/02/17
06/04/17</t>
  </si>
  <si>
    <t>Opale (ILOT 9)</t>
  </si>
  <si>
    <t>S terrain</t>
  </si>
  <si>
    <t>PRLC 0197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</si>
  <si>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rFont val="Calibri"/>
        <family val="2"/>
        <scheme val="minor"/>
      </rPr>
      <t xml:space="preserve"> Paule &amp; Gaston</t>
    </r>
  </si>
  <si>
    <t>PRLC 0191</t>
  </si>
  <si>
    <t>Amgt / CO</t>
  </si>
  <si>
    <t>ESQ ==&gt; APD</t>
  </si>
  <si>
    <t>Fin études/AO</t>
  </si>
  <si>
    <t>Clôture défisc</t>
  </si>
  <si>
    <t>Patrimoine</t>
  </si>
  <si>
    <t>REPARTITION TRAVAUX NEUFS &amp; REHABILITATION</t>
  </si>
  <si>
    <t>H2</t>
  </si>
  <si>
    <t>05/10/2016
28/02/17</t>
  </si>
  <si>
    <t>NH HDA</t>
  </si>
  <si>
    <t>notifiés en mai</t>
  </si>
  <si>
    <t>manque 2 DOE</t>
  </si>
  <si>
    <t>Bras de la Plaine</t>
  </si>
  <si>
    <t xml:space="preserve">                                                                                           </t>
  </si>
  <si>
    <t>envoyé 02/06/17</t>
  </si>
  <si>
    <t>1e partie envoyée à OFOI le 08/02/17
dernière partie envoyée à OFOI le 14/06/2017</t>
  </si>
  <si>
    <t>déposé DRFIP 16/06/17</t>
  </si>
  <si>
    <t>CG 12/01/17
Commune 18/01/17
CIVIS 18/01/17
Région 19/06/17</t>
  </si>
  <si>
    <t>ok
Région 19/06/17</t>
  </si>
  <si>
    <t>CG 12/01/17
Commune 18/01/17
CIVIS 18/01/17
Région 22/06/17</t>
  </si>
  <si>
    <t>Commune 21/12/16
CG 12/01/17
Région 19/06/17
CASUD 29/06/17</t>
  </si>
  <si>
    <t>Commune 05/05/17
Région 13/12/16
CASUD 29/06/17
CG 12/01/17</t>
  </si>
  <si>
    <t>CG 29/03/17
Région 28/06/17
CASUD 29/06/2017</t>
  </si>
  <si>
    <t>Commune 16/11/16
Région 13/12/16
CASUD 29/06/2017
CDC 21/06/17</t>
  </si>
  <si>
    <t>Galien</t>
  </si>
  <si>
    <t>AT 72</t>
  </si>
  <si>
    <t>NH CLOISONS</t>
  </si>
  <si>
    <t>AT 257 RPA</t>
  </si>
  <si>
    <t>Pivet</t>
  </si>
  <si>
    <t>SAFER</t>
  </si>
  <si>
    <t>dde 19/7/17</t>
  </si>
  <si>
    <t>TURPIN</t>
  </si>
  <si>
    <t>79 000
30 831 FRAFU</t>
  </si>
  <si>
    <t>PRLC 0192</t>
  </si>
  <si>
    <t>Foyer de Charité</t>
  </si>
  <si>
    <t>PRLC 0198</t>
  </si>
  <si>
    <t>PRLC 0199</t>
  </si>
  <si>
    <t>PRLC 0200</t>
  </si>
  <si>
    <t>PRLC 0201</t>
  </si>
  <si>
    <t>PRLC 0196</t>
  </si>
  <si>
    <t xml:space="preserve"> Bornage en cours
Mettre en place portage EPFR</t>
  </si>
  <si>
    <t>voie intérieure à rétrocéder
récupérer DOE
faire le DA : FVA s'en occupe</t>
  </si>
  <si>
    <t>AT 222/223/224</t>
  </si>
  <si>
    <t>Rapport de fin d'opération</t>
  </si>
  <si>
    <t>19/07/2017
05/09/17</t>
  </si>
  <si>
    <t>terrain acheté
projet de bornage transmis à FBR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</si>
  <si>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St Pierre</t>
    </r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</si>
  <si>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Tampon</t>
    </r>
  </si>
  <si>
    <t>Amata (HE 168) LLTS</t>
  </si>
  <si>
    <t>dossier chez OFOI 08/03/2017</t>
  </si>
  <si>
    <t>dossier transmis à OFOI 05/09/16</t>
  </si>
  <si>
    <t>Dépôt DDA définitif</t>
  </si>
  <si>
    <t>CH 162</t>
  </si>
  <si>
    <t>SITA</t>
  </si>
  <si>
    <t>élément transmis à OFOI 03/10/17</t>
  </si>
  <si>
    <t xml:space="preserve">AT 222/223/224
compromis AT 222 signé - PD obtenu / bornage 05/10/17
en attente du topo / bornage
empiètement sur AT 224
</t>
  </si>
  <si>
    <t xml:space="preserve">
attente protocole DD 1298 pour prendre possession des lieux
lancer procédure expulsion bungalow</t>
  </si>
  <si>
    <t xml:space="preserve">acheté 25/11/15
DA ER fait
convention de prise de possession anticipée reçue, à signer  / attention aux enrobés
OST à évacuer
AEP coupée
</t>
  </si>
  <si>
    <t xml:space="preserve">rétrocession voirie Mairie : dossier transmis à commune
lots à commercialiser : dépôt de pièces à faire chez notaire
vérifier avec notaire s'il faut afficher le PA modif
notaire prépare cession de la CH 505 à M. RIVIERE
</t>
  </si>
  <si>
    <t>servitude EP à faire : délib CM transmise au notaire qui doit faire un projet de servitude
rétrocéder voirie : BJE doit faire DA / DOE transmis à Commune</t>
  </si>
  <si>
    <t>rétrocession voirie Mairie à faire / DA en attente validation par Commune
DOE transmis à commune</t>
  </si>
  <si>
    <t>Mairie 09/10/17
CG 17/10/17</t>
  </si>
  <si>
    <t>OCTAVIE LLTS</t>
  </si>
  <si>
    <t>OCTAVIE LLS</t>
  </si>
  <si>
    <t>ES 15/10/17
CG 19/10/17</t>
  </si>
  <si>
    <t>DESIRE 3</t>
  </si>
  <si>
    <t>AK 661 - 770</t>
  </si>
  <si>
    <t>Mairie / privé</t>
  </si>
  <si>
    <t>GGO</t>
  </si>
  <si>
    <t>VEFA</t>
  </si>
  <si>
    <t>EM 628 p</t>
  </si>
  <si>
    <t>topo complémentaire en cours sur riverains
bornage à fournir par le propriétaire
CPV en cours</t>
  </si>
  <si>
    <t>AH 893 / AH 975</t>
  </si>
  <si>
    <t>regrouper pièces pour lancer consultation MOE - topo en cours
étudier scénario raccordement EU / ANC
CPV en cours de rédaction
manque évaluation domaines TCO</t>
  </si>
  <si>
    <t>compromis signé / pb d'accès / faire signer avenant de prorogation de compromis (Commune OK) - portage jusqu'à mai 2018
pb évacuation EP : riverain demande de l'argent / OET doit voir une entreprise pour faire un devis +  propriété communale du chemin (Mairie attend accord préfecture pour classer voirie)</t>
  </si>
  <si>
    <t>Lotissement FOURRAGERES</t>
  </si>
  <si>
    <t>GORBATCHEV</t>
  </si>
  <si>
    <t>BY 284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</si>
  <si>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Trefles</t>
    </r>
  </si>
  <si>
    <t>BV 024,213 AO 716,726</t>
  </si>
  <si>
    <t>Lot Men Ext
soit 1 sur 16 lots
4 RO</t>
  </si>
  <si>
    <t>ajouter colonne Date réception initiale</t>
  </si>
  <si>
    <t>Mairie 04/12/17
CG 17/10/17</t>
  </si>
  <si>
    <t>topo complémentaire en cours sur riverains
bornage à fournir par le propriétaire
CPV signé - prend fin au 31/12/18</t>
  </si>
  <si>
    <t>courrier à faire à la Mairie pour un portage / CPV signer</t>
  </si>
  <si>
    <t>Avenant EPFR signé
Convention avec riverain signée</t>
  </si>
  <si>
    <t>avenant 1 EPFR  signé - acquisition à mai 2018</t>
  </si>
  <si>
    <t>manque terrain communal à acheter en mai 2018 : veiller à ce que les abonnements soient résiliés</t>
  </si>
  <si>
    <t xml:space="preserve">une promesse d'échange Commune / Evêché sera signée : conditionne l'accès - DA doit être publié pour pouvoir faire l'échange - demander à la commune de récupérer l'emprise des voies dès que possible / il faut une délibération CM - travaux à démarrer en février 2018
EPFR a acheté le terrain 07/11/17
</t>
  </si>
  <si>
    <t>bornage signé mais remis en cause / servitude de tréfonds SAPHIR
prorogation EPFR jusqu'au 11/09/2019 : avenant à recevoir</t>
  </si>
  <si>
    <t>compromis vente signé prend fin fin mars 2017 / à proroger à mi 2018 - manque signature Commune</t>
  </si>
  <si>
    <t xml:space="preserve">acte signé 30/11/15
voie à détacher : en cours
</t>
  </si>
  <si>
    <t>terrains achetés
PA obtenu</t>
  </si>
  <si>
    <t>BJE récupère les pièces avec FBR
attente tableau des ventes de FBR
Rétrocession du chemin de l'amitié à faire
attente conformité des lots</t>
  </si>
  <si>
    <t xml:space="preserve"> servitude EP OK / échange de lot à faire
DA  en cours pour les lots
manque les pièces PA
rétrocession des 3 rues à faire mais appartiennent à INGEPAR / DA à faire par BJE
1 des lots est occupé</t>
  </si>
  <si>
    <t xml:space="preserve">
1 LOT sous compromis
Obtenir conformité Mairie</t>
  </si>
  <si>
    <t xml:space="preserve">rétrocession voirie Mairie à faire : solliciter la Commune
</t>
  </si>
  <si>
    <t>AK 661 : offre faite au propriétaire / pas de réponse - mettre ultimatum sous 15 j
topo consulté
pas d'accord des vendeurs</t>
  </si>
  <si>
    <t>10/07/2017
11/12/17</t>
  </si>
  <si>
    <t>NH ESQ</t>
  </si>
  <si>
    <t>dde 13/12/17</t>
  </si>
  <si>
    <t>COCO TURPIN</t>
  </si>
  <si>
    <t>CH 483 / 102</t>
  </si>
  <si>
    <t>REHAB</t>
  </si>
  <si>
    <t>(vide)</t>
  </si>
  <si>
    <t>Kakis</t>
  </si>
  <si>
    <t>ECART Arrêté DEAL / OS</t>
  </si>
  <si>
    <t>ANNEE DEMARRAGE</t>
  </si>
  <si>
    <t xml:space="preserve">CANNELLE </t>
  </si>
  <si>
    <t xml:space="preserve">PAPYRUS </t>
  </si>
  <si>
    <t>MMA</t>
  </si>
  <si>
    <t>DIAG</t>
  </si>
  <si>
    <t>PRLC 0204</t>
  </si>
  <si>
    <r>
      <t xml:space="preserve">VEFA </t>
    </r>
    <r>
      <rPr>
        <b/>
        <sz val="11"/>
        <rFont val="Calibri"/>
        <family val="2"/>
        <scheme val="minor"/>
      </rPr>
      <t>JOSETTE</t>
    </r>
  </si>
  <si>
    <t>CPV DAMOUR OK
manque CPV sur CH 102</t>
  </si>
  <si>
    <t>CPV CH 102 à signer
topo à compléter
CH 102 hors QPV
Mairie n'a pas donné son avis sur la programmation</t>
  </si>
  <si>
    <t>EM 628 p
CPV avec TURPIN en cours + clause substit EPFR
bornage à compléter - manque procurations / DA en cours de finalisation pour EM 629
EPFR délibère en mars/avril
minoration foncière CIVIS</t>
  </si>
  <si>
    <t xml:space="preserve">AX 24p / 25 / 429p / 28 / 27p
actualisation topo en cours
zone RHI
</t>
  </si>
  <si>
    <t>envoi Lydie 29/01/18</t>
  </si>
  <si>
    <t>sem 12/02 : T5</t>
  </si>
  <si>
    <t>CREDIT IMPOT</t>
  </si>
  <si>
    <t xml:space="preserve">Taux conformité DCE au CRATE 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</si>
  <si>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Miami</t>
    </r>
  </si>
  <si>
    <t>Marché MOE notifié</t>
  </si>
  <si>
    <t>Dépôt du dossier PC en Mairie (GANTT)-Prévu</t>
  </si>
  <si>
    <t>Dépôt du dossier PC en Mairie - Réalisé</t>
  </si>
  <si>
    <t>Ecart dépôt PC (j)</t>
  </si>
  <si>
    <t>OS APD - prévu</t>
  </si>
  <si>
    <t>OS APD - Réalisé</t>
  </si>
  <si>
    <t>Ecart</t>
  </si>
  <si>
    <t>NH CAO</t>
  </si>
  <si>
    <t>NH DAT</t>
  </si>
  <si>
    <t>NH RDC</t>
  </si>
  <si>
    <t>Bilan final</t>
  </si>
  <si>
    <t>OS ESQ - prévu</t>
  </si>
  <si>
    <t>OS ESQ - Réalisé</t>
  </si>
  <si>
    <t>ECART (j)</t>
  </si>
  <si>
    <t>OS PRO - prévu</t>
  </si>
  <si>
    <t>OS PRO - Réalisé</t>
  </si>
  <si>
    <t>OS DCE - prévu</t>
  </si>
  <si>
    <t>OS DCE - Réalisé</t>
  </si>
  <si>
    <t>Signature Marché Travaux - Prévu</t>
  </si>
  <si>
    <t>Signature Marché Travaux - Réalisé</t>
  </si>
  <si>
    <t>Date OS Prévu</t>
  </si>
  <si>
    <t>Date OS  - Réalisé</t>
  </si>
  <si>
    <t xml:space="preserve">Ecart </t>
  </si>
  <si>
    <t>Terrassement - Prévu</t>
  </si>
  <si>
    <t>Terrassement Réalisé</t>
  </si>
  <si>
    <t>Fondations - Prévu</t>
  </si>
  <si>
    <t>Fondations Réalisé</t>
  </si>
  <si>
    <t>Elevations - Prévu</t>
  </si>
  <si>
    <t>Elevations Réalisé</t>
  </si>
  <si>
    <t>Charpente / Couv - Prévu</t>
  </si>
  <si>
    <t>Charpente / Couv - Réalisé</t>
  </si>
  <si>
    <t>Clos - Prévu</t>
  </si>
  <si>
    <t>Clos - Réalisé</t>
  </si>
  <si>
    <t>Cloisons - Prévu</t>
  </si>
  <si>
    <t>Cloisons - Réalisé</t>
  </si>
  <si>
    <t>Finitions int - Prévu</t>
  </si>
  <si>
    <t>Finitions int - Réalisé</t>
  </si>
  <si>
    <t>Réception AEP</t>
  </si>
  <si>
    <t>Réception FT</t>
  </si>
  <si>
    <t>Réception EDF</t>
  </si>
  <si>
    <t>Réception des travaux (GANTT)-Prévu</t>
  </si>
  <si>
    <t>Réception des travaux (GANTT)-Recalée</t>
  </si>
  <si>
    <t>Délai travaux (m)</t>
  </si>
  <si>
    <t>Inauguration (GANTT)-Prévu</t>
  </si>
  <si>
    <t>Inauguration (GANTT)-Recalée</t>
  </si>
  <si>
    <t>Fonds propres au démarrage</t>
  </si>
  <si>
    <t>Fonds propres actualisés</t>
  </si>
  <si>
    <t>Ecart études (m)</t>
  </si>
  <si>
    <t>RO successifs</t>
  </si>
  <si>
    <t>Problémes chantier</t>
  </si>
  <si>
    <t>Observations générales</t>
  </si>
  <si>
    <t>FMA / FHO</t>
  </si>
  <si>
    <r>
      <t xml:space="preserve">RAS mais entreprises pas payées (GMF a 3 situations oct/nov/déc en attente)
</t>
    </r>
    <r>
      <rPr>
        <sz val="8"/>
        <color rgb="FFFF0000"/>
        <rFont val="Verdana"/>
        <family val="2"/>
      </rPr>
      <t>HOAREAU JP a posé tôle en sens inverse du vent</t>
    </r>
  </si>
  <si>
    <t>problématique foncière non anticipée et propre à la vente en VEFA défisc
changements de RO</t>
  </si>
  <si>
    <r>
      <t xml:space="preserve">1 mois de retard sur VRD (rattrapable) / possibilité de récupérer les clés des 5 lgts (partie basse) avant le reste (à fin avril)
</t>
    </r>
    <r>
      <rPr>
        <sz val="8"/>
        <color rgb="FFFF0000"/>
        <rFont val="Verdana"/>
        <family val="2"/>
      </rPr>
      <t>pb effectif Gros Œuvre
SIDELEC doit poser un PT pour la partie haute : à la recherche d'un foncier (s'est rapproché de la Mairie)</t>
    </r>
  </si>
  <si>
    <t>montage technico financier complexe / reprise d'études MOE à la demande du Maire / recherche de solutions pour minimiser les fonds propres (négociation foncière avec un propriétaire foncier pour réalisation de lots à batir en dation)</t>
  </si>
  <si>
    <t>FMA / YFR</t>
  </si>
  <si>
    <t>équipement local refoulement par CASUD à partir du 05/02 (1 mois travaux)
possible de faire état des lieux avant la remise des clés le 18/03/18</t>
  </si>
  <si>
    <t>décalage de programmation</t>
  </si>
  <si>
    <t>SFE / AGA / FVA</t>
  </si>
  <si>
    <t>bâche à poser pour sécurité incendie, avant inauguration</t>
  </si>
  <si>
    <t xml:space="preserve">problématique juridique INTERINVEST qui a mis beaucoup de temps à se solutionner
retard SBIM / AMEDEE
convention MOD EDF très tardive
</t>
  </si>
  <si>
    <t>JMO / NBL / FBR</t>
  </si>
  <si>
    <t>JMO / FBR</t>
  </si>
  <si>
    <t>JMO / AGA / FVA</t>
  </si>
  <si>
    <t>SFE / APU</t>
  </si>
  <si>
    <t>lgt témoin 08/02/18
réunion Mairie 22/02 sur rétrocession
pb avancement lot placo LCR
fondations à terminer fin 02/18</t>
  </si>
  <si>
    <t>SUN RUN à résilier - retard à évaluer
en attente chiffrage CLIMEO
13/02 : constat huissier
voir Direction pour déroger aux procédures</t>
  </si>
  <si>
    <t>SMOI : 1 mois retard (à confirmer fin 02/18)
mur voisin : 1,5 mois retard</t>
  </si>
  <si>
    <t>aléa mouvement de terrain grevant la parcelle après maîtrise foncière, à lever auprès du BRGM 
sécurisation du site proximité école
doute sur EPGM</t>
  </si>
  <si>
    <t>passage en crédit d'impôt</t>
  </si>
  <si>
    <t>info/ difficultés de terrassement dû à la nature du sol rencontré (courrier LASETRA) /retard galvanisation charpente+ 45 jours</t>
  </si>
  <si>
    <t>INFO / arrêt de chantier du 20/02/17 au 17/04/2017 suite pb d'avoisinant (bornage et mur)/retard galvanisation charpente</t>
  </si>
  <si>
    <t xml:space="preserve">attente des garanties= retard OS
janvier 2018 : DAF ne paie pas entreprises qui n'ont plus de fournitures (ex : 3 situations LASETRA pas payées au 26/01/18)
</t>
  </si>
  <si>
    <t>JDC / NBL / MFL / ADE</t>
  </si>
  <si>
    <t>avancement SMOI
logement témoin semaine du 19/02</t>
  </si>
  <si>
    <t>purge délai recours en cours</t>
  </si>
  <si>
    <t>MFL / ADE</t>
  </si>
  <si>
    <t>réception des communs en fév 2018</t>
  </si>
  <si>
    <t xml:space="preserve">Fourragères 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</si>
  <si>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Hopital</t>
    </r>
  </si>
  <si>
    <t>offres à analyser mais entreprises n'ont pas fait de visite</t>
  </si>
  <si>
    <t>AO à lancer sem 22/01 / voir pour modifier pièces concernant visite obligatoire</t>
  </si>
  <si>
    <t>PRO à recevoir en 02/18 - PC modif à déposer</t>
  </si>
  <si>
    <t>13/2/18 : fondations</t>
  </si>
  <si>
    <t>DIAG reçu / valider pgr travaux / revue de projet 20/02</t>
  </si>
  <si>
    <t>APS à analyser / PC à déposer 10/02/18 au plus tard</t>
  </si>
  <si>
    <t>PC à déposer 10/02/18 au plus tard</t>
  </si>
  <si>
    <t>analyse MOE à faire par FBR / faire mail à ASI</t>
  </si>
  <si>
    <t>PC à déposer 10/02/18 au plus tard / attente données hydrétudes</t>
  </si>
  <si>
    <t>PC déposé</t>
  </si>
  <si>
    <t>Lot Cloison : SPB par CPR
Lot Etanchéité : RSOP par Corail
Lot Sol souple : RSOP par Corail
Lot peinture : RSOP par Marine Peinture
Soit 4 lots sur 15 lots = 26 %</t>
  </si>
  <si>
    <t>Lot Men Ext
Lot Cloisons
Lot Bardage
Lot Bardage
soit 4 lots sur 14 = 29%
4 RO</t>
  </si>
  <si>
    <t>Lot Charpente Couverture : Trait Carré par HJP
Lot Gros-œuvre : Robert Construction par CH2D
Lot Men Ext :APOI par Espace Alu
Lot électricité : Electric Services par
Lot Gros-Œuvre : CH2D par DRMS
Lot OPC
Lot plomberie : Fluides OI par
Soit 6 lots sur 14 = 42%
3 RO</t>
  </si>
  <si>
    <t xml:space="preserve">Lot Charpente : BCCM par CMOI
Lot Peinture/Sol : RSOP par Corail
Lot Etanchéité : RVD par Corail
Lot ECS : Sunzil par Gaia 
Soit 4 lots / 14 lots  =  28 % </t>
  </si>
  <si>
    <t>Lot VRD
Lot Men Ext
Soit 2 lots sur 15 soit 13%
3 RO</t>
  </si>
  <si>
    <t>Lot VRD - SATP par Austral TP
Lot Cloisons - SPB par 3PPLUS
Lot Elec : DTS par EES
Soit 3 lots sur 14 = 21%
3 RO</t>
  </si>
  <si>
    <t>Lot Men Ext : APOI
Lot Metallerie : CSMD par M Metallerie
Lot Elec : Filea Elec par Mon ti caze Eclaire
Soit 3 lots sur 14 = 21%
5 RO</t>
  </si>
  <si>
    <t>Lot 4 Menuiserie - PVC 400 par Sofaal
Lot Metallerie : Technipose par Pumalu
soit 2 lots sur 16 = 12%
3 RO</t>
  </si>
  <si>
    <t>OPC :  L'hospitalier par Fromentin
Lot Etanchéité :
Lot Peinture :
Lot Cloison : Plaquiste réunion par Plaquiste.com
Menui Alu : FAOI par Technipose
Menui Alu : Technipose par Soremir
Lot Elect : I2E par Megawatt
Soit  6 lots sur 22 = 27 %</t>
  </si>
  <si>
    <t>Lot Couverture : BCCM par GMF
soit 1 lot sur 14
2 RO</t>
  </si>
  <si>
    <t>Lot 1.1 SATP
Lot 9 ERSEC 
Soit 2 lots sur 15 = 13%
3 RO</t>
  </si>
  <si>
    <t>Lot GO : Dunite btp par CH2D
Lot Métallerie : Sodure par Espace alu
Soit 2 sur 14 lots = 14%
4 RO</t>
  </si>
  <si>
    <t>Lot Bardage : EEC par MJF
Lot Charpente : EEC par MJF
Lot Elect : I2E par IEB
Lot Plomb : Sarhane par Ersec
Lot Plomb : Ersec par CSO
Soit 5 lot sur 14 = 35%
2 RO</t>
  </si>
  <si>
    <t>Résiliation ABR 21/08/13 - attribution EKCB 04/02/14 
Résiliation SATP 20/03/14 - attribution TPL 19/09/14 
Résiliation CSMD 16/05/14 - attribution EKCB 20/07/14 
Résiliation IJAP 20/06/14 - attribution M Peinture 03/12/14 
Résiliation APOI 16/06/15 - attribution SOREMIR 04/09/15
Lot Elec : DTS par Idem
 soit 6 lots sur 15 soit 40%
3 RO</t>
  </si>
  <si>
    <t>Lot Peinture : LSR par Marine Peinture
Lot ECS : Ersec par Gaia
Lot Plomb : Ersec par PSVR
Lot Cloison : CIOI par Austral Placo
Lot Charpente : CSMD par HJP
Lot Metallerie : CSMD par HJP
Lot Revetement Dur : PSOI par TPMIB
Soit 7 lots sur 15 soit 45 %
2 RO</t>
  </si>
  <si>
    <t>Lot Men Ext
Lot Charpente
Lot ECS
Soit 3 sur 17 lots = 17 %
2 RO</t>
  </si>
  <si>
    <t>Lot Elec : DTS par Rayroux
Soit 1 lot sur 16
3 RO</t>
  </si>
  <si>
    <t>Lot carrelage : EEPC par 
Lot plomberie : Attitude Plomb par 
Lot ECS : DYELL par 
Lot Charpente : Sorlier par JP Hoarau
Lot Charpente : JP Hoarau par CMOI
Soit 5 sur 15 lots  = 33 %
5 RO</t>
  </si>
  <si>
    <t>Lot Cloison : PRE par DROZ
 soit 1 sur 15</t>
  </si>
  <si>
    <t>Lot élec : Eneris par Espace Soleil
Soit 1 sur 15
4 RO</t>
  </si>
  <si>
    <t>Lot Menui Ext :PVC 400 par Sofaal
soit 1 sur 15
1  RO</t>
  </si>
  <si>
    <t>Lot GO : CH2D par DNA construction (2 mois de reconsult et négo)
Soit 1 sur 14 lots
3 RO</t>
  </si>
  <si>
    <t>Transmission à DAF
Garantie CR</t>
  </si>
  <si>
    <t>Transmission à DAF
Garantie EPCI</t>
  </si>
  <si>
    <t>Transmission à DAF
Garantie CM</t>
  </si>
  <si>
    <t>Transmission à DAF
Garantie CG</t>
  </si>
  <si>
    <t>Lot 9 = 1 mois</t>
  </si>
  <si>
    <t>Lot désamiantage</t>
  </si>
  <si>
    <t>AO lancé 13/02 - réception offres 13/03</t>
  </si>
  <si>
    <t>négo en cours</t>
  </si>
  <si>
    <t>réunion démarrage 01/03/18</t>
  </si>
  <si>
    <t>lancement AO sem 26/02 - voir avec TGI pour enlever toiture du DCE</t>
  </si>
  <si>
    <t>O'SUD Peinture pas à jour attestation fiscale</t>
  </si>
  <si>
    <t>résilier SIB (perte agrément) / se positionner sur demande de DLC
pas de nouvelles de l'AMO déchets : faire une MD huissier
courrier refus offre technique DLC à envoyer
O'SUD Peinture pas à jour attestation fiscale</t>
  </si>
  <si>
    <t>contrat de prêt à recevoir en février 2018 / délib garantie CM 24/02 / VEFA à signer fin fév 18 au + tard</t>
  </si>
  <si>
    <t>lancer AO</t>
  </si>
  <si>
    <t>retard études : gestion mitoyens / signature convention
retard rendu DCE (changement chargé d'affaire INTEGRALE)</t>
  </si>
  <si>
    <t>retard lancement AO : pb ramassage ordures ménagères
faire la demande de prêt</t>
  </si>
  <si>
    <t>courrier de MAP financière / technique faite au promoteur</t>
  </si>
  <si>
    <t>attente schéma directeur EP pour lever réserve BCT sur évacuation EP = réunion Boyer 24/02
attente DCE indice 2
analyser offres désamiantage</t>
  </si>
  <si>
    <t>caler réunion validation PRO semaine 26/02</t>
  </si>
  <si>
    <t>IMPREVUS ACTUALISES</t>
  </si>
  <si>
    <t>Délai chantier initial Livraison (+ 1 mois)</t>
  </si>
  <si>
    <t>Retard réception (mois)</t>
  </si>
  <si>
    <t>Retard loyers (mois)</t>
  </si>
  <si>
    <t>Retard livraison VEFA (mois)</t>
  </si>
  <si>
    <t>dossier envoyé fin avril 2017 / mi février 17</t>
  </si>
  <si>
    <t>Date réception prévue initialement</t>
  </si>
  <si>
    <t>PRP CA</t>
  </si>
  <si>
    <t>Ecart Inauguration (m)</t>
  </si>
  <si>
    <t>lancer désamiantage / étude hydraulique à réaliser pour confirmation hyp SEGC
perte de temps sur la phase DCE pour consolider étude hydraulique</t>
  </si>
  <si>
    <t>attention à SBIM
28/02/18 : courrier de demande de résiliation marché à EPMR qui conteste quantité carrelage chiffré</t>
  </si>
  <si>
    <t>Date Agrément DRFIP</t>
  </si>
  <si>
    <t>Agrément définitif</t>
  </si>
  <si>
    <t>RPA MERCURY (Terrain DAMOUR)</t>
  </si>
  <si>
    <t xml:space="preserve">Somme de DEFISC </t>
  </si>
  <si>
    <t xml:space="preserve">Total Somme de DEFISC </t>
  </si>
  <si>
    <t>Total Somme de PRÊT 2</t>
  </si>
  <si>
    <t>Somme de PRÊT 2</t>
  </si>
  <si>
    <t xml:space="preserve">Total Somme de LBU </t>
  </si>
  <si>
    <t xml:space="preserve">Somme de LBU </t>
  </si>
  <si>
    <t>Total Somme de AUTRES SUBVENTIONS</t>
  </si>
  <si>
    <t>Somme de AUTRES SUBVENTIONS</t>
  </si>
  <si>
    <t>Total Somme de FONDS PROPRES CONSTRUCTION</t>
  </si>
  <si>
    <t>Somme de FONDS PROPRES CONSTRUCTION 1120</t>
  </si>
  <si>
    <t>Somme de FONDS PROPRES CONSTRUCTION 1285412</t>
  </si>
  <si>
    <t>Somme de FONDS PROPRES CONSTRUCTION 620464</t>
  </si>
  <si>
    <t>Somme de FONDS PROPRES CONSTRUCTION (vide)</t>
  </si>
  <si>
    <t>Somme de FONDS PROPRES CONSTRUCTION 2306000</t>
  </si>
  <si>
    <t>Somme de FONDS PROPRES CONSTRUCTION 1267528</t>
  </si>
  <si>
    <t>Somme de FONDS PROPRES CONSTRUCTION 2481000</t>
  </si>
  <si>
    <t>Somme de FONDS PROPRES CONSTRUCTION 1359605</t>
  </si>
  <si>
    <t>Somme de FONDS PROPRES CONSTRUCTION 0</t>
  </si>
  <si>
    <t>Somme de FONDS PROPRES CONSTRUCTION 12327</t>
  </si>
  <si>
    <t>Somme de FONDS PROPRES CONSTRUCTION 335412</t>
  </si>
  <si>
    <t>Somme de FONDS PROPRES CONSTRUCTION 119398</t>
  </si>
  <si>
    <t>Somme de FONDS PROPRES CONSTRUCTION 75000</t>
  </si>
  <si>
    <t>Somme de FONDS PROPRES CONSTRUCTION 604971</t>
  </si>
  <si>
    <t>Somme de FONDS PROPRES CONSTRUCTION 177688</t>
  </si>
  <si>
    <t>Somme de FONDS PROPRES CONSTRUCTION 294297</t>
  </si>
  <si>
    <t>Somme de FONDS PROPRES CONSTRUCTION 486159</t>
  </si>
  <si>
    <t>Somme de FONDS PROPRES CONSTRUCTION 100000</t>
  </si>
  <si>
    <t>Somme de FONDS PROPRES CONSTRUCTION 340124</t>
  </si>
  <si>
    <t>Somme de FONDS PROPRES CONSTRUCTION 864010</t>
  </si>
  <si>
    <t>Somme de FONDS PROPRES CONSTRUCTION 225000</t>
  </si>
  <si>
    <t>Somme de FONDS PROPRES CONSTRUCTION 426409</t>
  </si>
  <si>
    <t>Somme de FONDS PROPRES CONSTRUCTION 18936</t>
  </si>
  <si>
    <t>Somme de FONDS PROPRES CONSTRUCTION 771556</t>
  </si>
  <si>
    <t>Somme de FONDS PROPRES CONSTRUCTION 266000</t>
  </si>
  <si>
    <t>Somme de FONDS PROPRES CONSTRUCTION 443491,89</t>
  </si>
  <si>
    <t>Somme de FONDS PROPRES CONSTRUCTION 1110259</t>
  </si>
  <si>
    <t>Somme de FONDS PROPRES CONSTRUCTION 165000</t>
  </si>
  <si>
    <t>Somme de FONDS PROPRES CONSTRUCTION 553441</t>
  </si>
  <si>
    <t>Somme de FONDS PROPRES CONSTRUCTION 1199946</t>
  </si>
  <si>
    <t>Somme de FONDS PROPRES CONSTRUCTION 1</t>
  </si>
  <si>
    <t>Somme de FONDS PROPRES CONSTRUCTION 614225</t>
  </si>
  <si>
    <t>Somme de FONDS PROPRES CONSTRUCTION 1260196</t>
  </si>
  <si>
    <t>Somme de FONDS PROPRES CONSTRUCTION 500000</t>
  </si>
  <si>
    <t>Somme de FONDS PROPRES CONSTRUCTION 642565</t>
  </si>
  <si>
    <t>Somme de FONDS PROPRES CONSTRUCTION 430</t>
  </si>
  <si>
    <t>Somme de FONDS PROPRES CONSTRUCTION 1041347,98</t>
  </si>
  <si>
    <t>Somme de FONDS PROPRES CONSTRUCTION 60000</t>
  </si>
  <si>
    <t>Somme de FONDS PROPRES CONSTRUCTION 706398,49</t>
  </si>
  <si>
    <t>Somme de FONDS PROPRES CONSTRUCTION 1490303</t>
  </si>
  <si>
    <t>Somme de FONDS PROPRES CONSTRUCTION 432000</t>
  </si>
  <si>
    <t>Somme de FONDS PROPRES CONSTRUCTION 736924</t>
  </si>
  <si>
    <t>Somme de FONDS PROPRES CONSTRUCTION 1240121</t>
  </si>
  <si>
    <t>Somme de FONDS PROPRES CONSTRUCTION 89905</t>
  </si>
  <si>
    <t>Somme de FONDS PROPRES CONSTRUCTION 745095</t>
  </si>
  <si>
    <t>Somme de FONDS PROPRES CONSTRUCTION 1395754</t>
  </si>
  <si>
    <t>Somme de FONDS PROPRES CONSTRUCTION 254997</t>
  </si>
  <si>
    <t>Somme de FONDS PROPRES CONSTRUCTION 750247</t>
  </si>
  <si>
    <t>Somme de FONDS PROPRES CONSTRUCTION 16912</t>
  </si>
  <si>
    <t>Somme de FONDS PROPRES CONSTRUCTION 1359322</t>
  </si>
  <si>
    <t>Somme de FONDS PROPRES CONSTRUCTION 420000</t>
  </si>
  <si>
    <t>Somme de FONDS PROPRES CONSTRUCTION 771141</t>
  </si>
  <si>
    <t>Somme de FONDS PROPRES CONSTRUCTION 26756</t>
  </si>
  <si>
    <t>Somme de FONDS PROPRES CONSTRUCTION 1544668</t>
  </si>
  <si>
    <t>Somme de FONDS PROPRES CONSTRUCTION 400000</t>
  </si>
  <si>
    <t>Somme de FONDS PROPRES CONSTRUCTION 803098</t>
  </si>
  <si>
    <t>Somme de FONDS PROPRES CONSTRUCTION 1314229</t>
  </si>
  <si>
    <t>Somme de FONDS PROPRES CONSTRUCTION 393831</t>
  </si>
  <si>
    <t>Somme de FONDS PROPRES CONSTRUCTION 835967</t>
  </si>
  <si>
    <t>Somme de FONDS PROPRES CONSTRUCTION 53682</t>
  </si>
  <si>
    <t>Somme de FONDS PROPRES CONSTRUCTION 1530227</t>
  </si>
  <si>
    <t>Somme de FONDS PROPRES CONSTRUCTION 380000</t>
  </si>
  <si>
    <t>Somme de FONDS PROPRES CONSTRUCTION 853424</t>
  </si>
  <si>
    <t>Somme de FONDS PROPRES CONSTRUCTION 5055</t>
  </si>
  <si>
    <t>Somme de FONDS PROPRES CONSTRUCTION 1596953,37</t>
  </si>
  <si>
    <t>Somme de FONDS PROPRES CONSTRUCTION 320000</t>
  </si>
  <si>
    <t>Somme de FONDS PROPRES CONSTRUCTION 863024</t>
  </si>
  <si>
    <t>Somme de FONDS PROPRES CONSTRUCTION 8336</t>
  </si>
  <si>
    <t>Somme de FONDS PROPRES CONSTRUCTION 1657979</t>
  </si>
  <si>
    <t>Somme de FONDS PROPRES CONSTRUCTION 360000</t>
  </si>
  <si>
    <t>Somme de FONDS PROPRES CONSTRUCTION 866175,59</t>
  </si>
  <si>
    <t>Somme de FONDS PROPRES CONSTRUCTION 1772076</t>
  </si>
  <si>
    <t>Somme de FONDS PROPRES CONSTRUCTION 529000</t>
  </si>
  <si>
    <t>Somme de FONDS PROPRES CONSTRUCTION 901691</t>
  </si>
  <si>
    <t>Somme de FONDS PROPRES CONSTRUCTION 1895079</t>
  </si>
  <si>
    <t>Somme de FONDS PROPRES CONSTRUCTION 558000</t>
  </si>
  <si>
    <t>Somme de FONDS PROPRES CONSTRUCTION 929819</t>
  </si>
  <si>
    <t>Somme de FONDS PROPRES CONSTRUCTION 46180</t>
  </si>
  <si>
    <t>Somme de FONDS PROPRES CONSTRUCTION 2024741</t>
  </si>
  <si>
    <t>Somme de FONDS PROPRES CONSTRUCTION 982780</t>
  </si>
  <si>
    <t>Somme de FONDS PROPRES CONSTRUCTION 2051712</t>
  </si>
  <si>
    <t>Somme de FONDS PROPRES CONSTRUCTION 1042673</t>
  </si>
  <si>
    <t>Somme de FONDS PROPRES CONSTRUCTION 2287466</t>
  </si>
  <si>
    <t>Somme de FONDS PROPRES CONSTRUCTION 355000</t>
  </si>
  <si>
    <t>Somme de FONDS PROPRES CONSTRUCTION 1090090</t>
  </si>
  <si>
    <t>Somme de FONDS PROPRES CONSTRUCTION 11530</t>
  </si>
  <si>
    <t>Somme de FONDS PROPRES CONSTRUCTION 1610935,1</t>
  </si>
  <si>
    <t>Somme de FONDS PROPRES CONSTRUCTION 270000</t>
  </si>
  <si>
    <t>Somme de FONDS PROPRES CONSTRUCTION 1097171,15</t>
  </si>
  <si>
    <t>Somme de FONDS PROPRES CONSTRUCTION 29518</t>
  </si>
  <si>
    <t>Somme de FONDS PROPRES CONSTRUCTION 2066681</t>
  </si>
  <si>
    <t>Somme de FONDS PROPRES CONSTRUCTION 200000</t>
  </si>
  <si>
    <t>Somme de FONDS PROPRES CONSTRUCTION 1114138,93968677</t>
  </si>
  <si>
    <t>Somme de FONDS PROPRES CONSTRUCTION 1900232,32</t>
  </si>
  <si>
    <t>Somme de FONDS PROPRES CONSTRUCTION 1134685,53</t>
  </si>
  <si>
    <t>Somme de FONDS PROPRES CONSTRUCTION 2060772</t>
  </si>
  <si>
    <t>Somme de FONDS PROPRES CONSTRUCTION 1169377</t>
  </si>
  <si>
    <t>Somme de FONDS PROPRES CONSTRUCTION 1973763</t>
  </si>
  <si>
    <t>Somme de FONDS PROPRES CONSTRUCTION 700000</t>
  </si>
  <si>
    <t>Somme de FONDS PROPRES CONSTRUCTION 1181624</t>
  </si>
  <si>
    <t>Somme de FONDS PROPRES CONSTRUCTION 2593661</t>
  </si>
  <si>
    <t>Somme de FONDS PROPRES CONSTRUCTION 239587</t>
  </si>
  <si>
    <t>Somme de FONDS PROPRES CONSTRUCTION 1191366</t>
  </si>
  <si>
    <t>Somme de FONDS PROPRES CONSTRUCTION 2362522</t>
  </si>
  <si>
    <t>Somme de FONDS PROPRES CONSTRUCTION 384000</t>
  </si>
  <si>
    <t>Somme de FONDS PROPRES CONSTRUCTION 1196851</t>
  </si>
  <si>
    <t>Somme de FONDS PROPRES CONSTRUCTION 114303</t>
  </si>
  <si>
    <t>Somme de FONDS PROPRES CONSTRUCTION 1847820</t>
  </si>
  <si>
    <t>Somme de FONDS PROPRES CONSTRUCTION 504000</t>
  </si>
  <si>
    <t>Somme de FONDS PROPRES CONSTRUCTION 1210563</t>
  </si>
  <si>
    <t>Somme de FONDS PROPRES CONSTRUCTION 30000</t>
  </si>
  <si>
    <t>Somme de FONDS PROPRES CONSTRUCTION 2153894</t>
  </si>
  <si>
    <t>Somme de FONDS PROPRES CONSTRUCTION 480000</t>
  </si>
  <si>
    <t>Somme de FONDS PROPRES CONSTRUCTION 1260005</t>
  </si>
  <si>
    <t>Somme de FONDS PROPRES CONSTRUCTION 2105582</t>
  </si>
  <si>
    <t>Somme de FONDS PROPRES CONSTRUCTION 656000</t>
  </si>
  <si>
    <t>Somme de FONDS PROPRES CONSTRUCTION 1263947</t>
  </si>
  <si>
    <t>Somme de FONDS PROPRES CONSTRUCTION 112859,97</t>
  </si>
  <si>
    <t>Somme de FONDS PROPRES CONSTRUCTION 1784577</t>
  </si>
  <si>
    <t>Somme de FONDS PROPRES CONSTRUCTION 442750</t>
  </si>
  <si>
    <t>Somme de FONDS PROPRES CONSTRUCTION 1296418,39</t>
  </si>
  <si>
    <t>Somme de FONDS PROPRES CONSTRUCTION 35600</t>
  </si>
  <si>
    <t>Somme de FONDS PROPRES CONSTRUCTION 2005966</t>
  </si>
  <si>
    <t>Somme de FONDS PROPRES CONSTRUCTION 520000</t>
  </si>
  <si>
    <t>Somme de FONDS PROPRES CONSTRUCTION 1301816</t>
  </si>
  <si>
    <t>Somme de FONDS PROPRES CONSTRUCTION 2706086</t>
  </si>
  <si>
    <t>Somme de FONDS PROPRES CONSTRUCTION 600000</t>
  </si>
  <si>
    <t>Somme de FONDS PROPRES CONSTRUCTION 1462622</t>
  </si>
  <si>
    <t>Somme de FONDS PROPRES CONSTRUCTION 1110</t>
  </si>
  <si>
    <t>Somme de FONDS PROPRES CONSTRUCTION 3186090</t>
  </si>
  <si>
    <t>Somme de FONDS PROPRES CONSTRUCTION 1473759,38</t>
  </si>
  <si>
    <t>Somme de FONDS PROPRES CONSTRUCTION 2895140,53</t>
  </si>
  <si>
    <t>Somme de FONDS PROPRES CONSTRUCTION 663000</t>
  </si>
  <si>
    <t>Somme de FONDS PROPRES CONSTRUCTION 1480537</t>
  </si>
  <si>
    <t>Somme de FONDS PROPRES CONSTRUCTION 3248644,89</t>
  </si>
  <si>
    <t>Somme de FONDS PROPRES CONSTRUCTION 1500443,2</t>
  </si>
  <si>
    <t>Somme de FONDS PROPRES CONSTRUCTION 2765236,62</t>
  </si>
  <si>
    <t>Somme de FONDS PROPRES CONSTRUCTION 800000</t>
  </si>
  <si>
    <t>Somme de FONDS PROPRES CONSTRUCTION 1552800,91</t>
  </si>
  <si>
    <t>Somme de FONDS PROPRES CONSTRUCTION 3023907</t>
  </si>
  <si>
    <t>Somme de FONDS PROPRES CONSTRUCTION 680000</t>
  </si>
  <si>
    <t>Somme de FONDS PROPRES CONSTRUCTION 1600171,58</t>
  </si>
  <si>
    <t>Somme de FONDS PROPRES CONSTRUCTION 25000</t>
  </si>
  <si>
    <t>Somme de FONDS PROPRES CONSTRUCTION 2760459</t>
  </si>
  <si>
    <t>Somme de FONDS PROPRES CONSTRUCTION 945000</t>
  </si>
  <si>
    <t>Somme de FONDS PROPRES CONSTRUCTION 1629529</t>
  </si>
  <si>
    <t>Somme de FONDS PROPRES CONSTRUCTION 12414</t>
  </si>
  <si>
    <t>Somme de FONDS PROPRES CONSTRUCTION 3296474,06</t>
  </si>
  <si>
    <t>Somme de FONDS PROPRES CONSTRUCTION 280000</t>
  </si>
  <si>
    <t>Somme de FONDS PROPRES CONSTRUCTION 1638956,14</t>
  </si>
  <si>
    <t>Somme de FONDS PROPRES CONSTRUCTION 1310249</t>
  </si>
  <si>
    <t>Somme de FONDS PROPRES CONSTRUCTION 3189669</t>
  </si>
  <si>
    <t>Somme de FONDS PROPRES CONSTRUCTION 1736993</t>
  </si>
  <si>
    <t>Somme de FONDS PROPRES CONSTRUCTION 3678947</t>
  </si>
  <si>
    <t>Somme de FONDS PROPRES CONSTRUCTION 880000</t>
  </si>
  <si>
    <t>Somme de FONDS PROPRES CONSTRUCTION 1905132</t>
  </si>
  <si>
    <t>Somme de FONDS PROPRES CONSTRUCTION 3571759,95</t>
  </si>
  <si>
    <t>Somme de FONDS PROPRES CONSTRUCTION 1916369</t>
  </si>
  <si>
    <t>Somme de FONDS PROPRES CONSTRUCTION 3865450</t>
  </si>
  <si>
    <t>Somme de FONDS PROPRES CONSTRUCTION 1100000</t>
  </si>
  <si>
    <t>Somme de FONDS PROPRES CONSTRUCTION 1928374</t>
  </si>
  <si>
    <t>Somme de FONDS PROPRES CONSTRUCTION 4540907,43</t>
  </si>
  <si>
    <t>Somme de FONDS PROPRES CONSTRUCTION 1118000</t>
  </si>
  <si>
    <t>Somme de FONDS PROPRES CONSTRUCTION 2234701</t>
  </si>
  <si>
    <t>Somme de FONDS PROPRES CONSTRUCTION 3931799,2</t>
  </si>
  <si>
    <t>Somme de FONDS PROPRES CONSTRUCTION 660000</t>
  </si>
  <si>
    <t>Somme de FONDS PROPRES CONSTRUCTION 2271739</t>
  </si>
  <si>
    <t>Somme de FONDS PROPRES CONSTRUCTION 15485</t>
  </si>
  <si>
    <t>Somme de FONDS PROPRES CONSTRUCTION 4693223</t>
  </si>
  <si>
    <t>Somme de FONDS PROPRES CONSTRUCTION 2438948</t>
  </si>
  <si>
    <t>Somme de FONDS PROPRES CONSTRUCTION 4684224</t>
  </si>
  <si>
    <t>Somme de FONDS PROPRES CONSTRUCTION 2453735</t>
  </si>
  <si>
    <t>Somme de FONDS PROPRES CONSTRUCTION 5272823,875</t>
  </si>
  <si>
    <t>Somme de FONDS PROPRES CONSTRUCTION 925000</t>
  </si>
  <si>
    <t>Somme de FONDS PROPRES CONSTRUCTION 2572426,04</t>
  </si>
  <si>
    <t>Somme de FONDS PROPRES CONSTRUCTION 112832</t>
  </si>
  <si>
    <t>Somme de FONDS PROPRES CONSTRUCTION 5285874</t>
  </si>
  <si>
    <t>Somme de FONDS PROPRES CONSTRUCTION 406000</t>
  </si>
  <si>
    <t>Somme de FONDS PROPRES CONSTRUCTION 2642685</t>
  </si>
  <si>
    <t>Somme de FONDS PROPRES CONSTRUCTION 6290107</t>
  </si>
  <si>
    <t>Somme de FONDS PROPRES CONSTRUCTION 300000</t>
  </si>
  <si>
    <t>Somme de FONDS PROPRES CONSTRUCTION 2932668</t>
  </si>
  <si>
    <t>Somme de FONDS PROPRES CONSTRUCTION 101837</t>
  </si>
  <si>
    <t>Somme de FONDS PROPRES CONSTRUCTION 5336445</t>
  </si>
  <si>
    <t>Somme de FONDS PROPRES CONSTRUCTION 2943213,03736187</t>
  </si>
  <si>
    <t>Somme de FONDS PROPRES CONSTRUCTION 6112292,55</t>
  </si>
  <si>
    <t>Somme de FONDS PROPRES CONSTRUCTION 790394</t>
  </si>
  <si>
    <t>Somme de FONDS PROPRES CONSTRUCTION 3195831</t>
  </si>
  <si>
    <t>Somme de FONDS PROPRES CONSTRUCTION 63128</t>
  </si>
  <si>
    <t>Somme de FONDS PROPRES CONSTRUCTION 6429606,37</t>
  </si>
  <si>
    <t>Somme de FONDS PROPRES CONSTRUCTION 3263643</t>
  </si>
  <si>
    <t>Somme de FONDS PROPRES CONSTRUCTION 5918673</t>
  </si>
  <si>
    <t>Somme de FONDS PROPRES CONSTRUCTION 3287400</t>
  </si>
  <si>
    <t>Somme de FONDS PROPRES CONSTRUCTION 2455687,71</t>
  </si>
  <si>
    <t>Somme de FONDS PROPRES CONSTRUCTION 5854059</t>
  </si>
  <si>
    <t>Somme de FONDS PROPRES CONSTRUCTION 3306813</t>
  </si>
  <si>
    <t>Somme de FONDS PROPRES CONSTRUCTION 57556</t>
  </si>
  <si>
    <t>Somme de FONDS PROPRES CONSTRUCTION 7299442</t>
  </si>
  <si>
    <t>Somme de FONDS PROPRES CONSTRUCTION 1512000</t>
  </si>
  <si>
    <t>Somme de FONDS PROPRES CONSTRUCTION 3808325</t>
  </si>
  <si>
    <t>Somme de FONDS PROPRES CONSTRUCTION 7538525,51</t>
  </si>
  <si>
    <t>Somme de FONDS PROPRES CONSTRUCTION 995000</t>
  </si>
  <si>
    <t>Somme de FONDS PROPRES CONSTRUCTION 3816022,8</t>
  </si>
  <si>
    <t>Somme de FONDS PROPRES CONSTRUCTION 8282245</t>
  </si>
  <si>
    <t>Somme de FONDS PROPRES CONSTRUCTION 1245000</t>
  </si>
  <si>
    <t>Somme de FONDS PROPRES CONSTRUCTION 4422509</t>
  </si>
  <si>
    <t>Somme de FONDS PROPRES CONSTRUCTION 21631</t>
  </si>
  <si>
    <t>Somme de FONDS PROPRES CONSTRUCTION 27272,05</t>
  </si>
  <si>
    <t>Somme de FONDS PROPRES CONSTRUCTION 3563771</t>
  </si>
  <si>
    <t>Somme de FONDS PROPRES CONSTRUCTION 3651857</t>
  </si>
  <si>
    <t>Somme de AUTRES SUBVENTIONS 1120</t>
  </si>
  <si>
    <t>Somme de AUTRES SUBVENTIONS 1285412</t>
  </si>
  <si>
    <t>Somme de AUTRES SUBVENTIONS 620464</t>
  </si>
  <si>
    <t>Somme de AUTRES SUBVENTIONS (vide)</t>
  </si>
  <si>
    <t>Somme de AUTRES SUBVENTIONS 2306000</t>
  </si>
  <si>
    <t>Somme de AUTRES SUBVENTIONS 1267528</t>
  </si>
  <si>
    <t>Somme de AUTRES SUBVENTIONS 2481000</t>
  </si>
  <si>
    <t>Somme de AUTRES SUBVENTIONS 1359605</t>
  </si>
  <si>
    <t>Somme de AUTRES SUBVENTIONS 0</t>
  </si>
  <si>
    <t>Somme de AUTRES SUBVENTIONS 12327</t>
  </si>
  <si>
    <t>Somme de AUTRES SUBVENTIONS 335412</t>
  </si>
  <si>
    <t>Somme de AUTRES SUBVENTIONS 119398</t>
  </si>
  <si>
    <t>Somme de AUTRES SUBVENTIONS 75000</t>
  </si>
  <si>
    <t>Somme de AUTRES SUBVENTIONS 604971</t>
  </si>
  <si>
    <t>Somme de AUTRES SUBVENTIONS 177688</t>
  </si>
  <si>
    <t>Somme de AUTRES SUBVENTIONS 294297</t>
  </si>
  <si>
    <t>Somme de AUTRES SUBVENTIONS 486159</t>
  </si>
  <si>
    <t>Somme de AUTRES SUBVENTIONS 100000</t>
  </si>
  <si>
    <t>Somme de AUTRES SUBVENTIONS 340124</t>
  </si>
  <si>
    <t>Somme de AUTRES SUBVENTIONS 864010</t>
  </si>
  <si>
    <t>Somme de AUTRES SUBVENTIONS 225000</t>
  </si>
  <si>
    <t>Somme de AUTRES SUBVENTIONS 426409</t>
  </si>
  <si>
    <t>Somme de AUTRES SUBVENTIONS 18936</t>
  </si>
  <si>
    <t>Somme de AUTRES SUBVENTIONS 771556</t>
  </si>
  <si>
    <t>Somme de AUTRES SUBVENTIONS 266000</t>
  </si>
  <si>
    <t>Somme de AUTRES SUBVENTIONS 443491,89</t>
  </si>
  <si>
    <t>Somme de AUTRES SUBVENTIONS 1110259</t>
  </si>
  <si>
    <t>Somme de AUTRES SUBVENTIONS 165000</t>
  </si>
  <si>
    <t>Somme de AUTRES SUBVENTIONS 553441</t>
  </si>
  <si>
    <t>Somme de AUTRES SUBVENTIONS 1199946</t>
  </si>
  <si>
    <t>Somme de AUTRES SUBVENTIONS 1</t>
  </si>
  <si>
    <t>Somme de AUTRES SUBVENTIONS 614225</t>
  </si>
  <si>
    <t>Somme de AUTRES SUBVENTIONS 1260196</t>
  </si>
  <si>
    <t>Somme de AUTRES SUBVENTIONS 500000</t>
  </si>
  <si>
    <t>Somme de AUTRES SUBVENTIONS 642565</t>
  </si>
  <si>
    <t>Somme de AUTRES SUBVENTIONS 430</t>
  </si>
  <si>
    <t>Somme de AUTRES SUBVENTIONS 1041347,98</t>
  </si>
  <si>
    <t>Somme de AUTRES SUBVENTIONS 60000</t>
  </si>
  <si>
    <t>Somme de AUTRES SUBVENTIONS 706398,49</t>
  </si>
  <si>
    <t>Somme de AUTRES SUBVENTIONS 1490303</t>
  </si>
  <si>
    <t>Somme de AUTRES SUBVENTIONS 432000</t>
  </si>
  <si>
    <t>Somme de AUTRES SUBVENTIONS 736924</t>
  </si>
  <si>
    <t>Somme de AUTRES SUBVENTIONS 1240121</t>
  </si>
  <si>
    <t>Somme de AUTRES SUBVENTIONS 89905</t>
  </si>
  <si>
    <t>Somme de AUTRES SUBVENTIONS 745095</t>
  </si>
  <si>
    <t>Somme de AUTRES SUBVENTIONS 1395754</t>
  </si>
  <si>
    <t>Somme de AUTRES SUBVENTIONS 254997</t>
  </si>
  <si>
    <t>Somme de AUTRES SUBVENTIONS 750247</t>
  </si>
  <si>
    <t>Somme de AUTRES SUBVENTIONS 16912</t>
  </si>
  <si>
    <t>Somme de AUTRES SUBVENTIONS 1359322</t>
  </si>
  <si>
    <t>Somme de AUTRES SUBVENTIONS 420000</t>
  </si>
  <si>
    <t>Somme de AUTRES SUBVENTIONS 771141</t>
  </si>
  <si>
    <t>Somme de AUTRES SUBVENTIONS 26756</t>
  </si>
  <si>
    <t>Somme de AUTRES SUBVENTIONS 1544668</t>
  </si>
  <si>
    <t>Somme de AUTRES SUBVENTIONS 400000</t>
  </si>
  <si>
    <t>Somme de AUTRES SUBVENTIONS 803098</t>
  </si>
  <si>
    <t>Somme de AUTRES SUBVENTIONS 1314229</t>
  </si>
  <si>
    <t>Somme de AUTRES SUBVENTIONS 393831</t>
  </si>
  <si>
    <t>Somme de AUTRES SUBVENTIONS 835967</t>
  </si>
  <si>
    <t>Somme de AUTRES SUBVENTIONS 53682</t>
  </si>
  <si>
    <t>Somme de AUTRES SUBVENTIONS 1530227</t>
  </si>
  <si>
    <t>Somme de AUTRES SUBVENTIONS 380000</t>
  </si>
  <si>
    <t>Somme de AUTRES SUBVENTIONS 853424</t>
  </si>
  <si>
    <t>Somme de AUTRES SUBVENTIONS 5055</t>
  </si>
  <si>
    <t>Somme de AUTRES SUBVENTIONS 1596953,37</t>
  </si>
  <si>
    <t>Somme de AUTRES SUBVENTIONS 320000</t>
  </si>
  <si>
    <t>Somme de AUTRES SUBVENTIONS 863024</t>
  </si>
  <si>
    <t>Somme de AUTRES SUBVENTIONS 8336</t>
  </si>
  <si>
    <t>Somme de AUTRES SUBVENTIONS 1657979</t>
  </si>
  <si>
    <t>Somme de AUTRES SUBVENTIONS 360000</t>
  </si>
  <si>
    <t>Somme de AUTRES SUBVENTIONS 866175,59</t>
  </si>
  <si>
    <t>Somme de AUTRES SUBVENTIONS 1772076</t>
  </si>
  <si>
    <t>Somme de AUTRES SUBVENTIONS 529000</t>
  </si>
  <si>
    <t>Somme de AUTRES SUBVENTIONS 901691</t>
  </si>
  <si>
    <t>Somme de AUTRES SUBVENTIONS 1895079</t>
  </si>
  <si>
    <t>Somme de AUTRES SUBVENTIONS 558000</t>
  </si>
  <si>
    <t>Somme de AUTRES SUBVENTIONS 929819</t>
  </si>
  <si>
    <t>Somme de AUTRES SUBVENTIONS 46180</t>
  </si>
  <si>
    <t>Somme de AUTRES SUBVENTIONS 2024741</t>
  </si>
  <si>
    <t>Somme de AUTRES SUBVENTIONS 982780</t>
  </si>
  <si>
    <t>Somme de AUTRES SUBVENTIONS 2051712</t>
  </si>
  <si>
    <t>Somme de AUTRES SUBVENTIONS 1042673</t>
  </si>
  <si>
    <t>Somme de AUTRES SUBVENTIONS 2287466</t>
  </si>
  <si>
    <t>Somme de AUTRES SUBVENTIONS 355000</t>
  </si>
  <si>
    <t>Somme de AUTRES SUBVENTIONS 1090090</t>
  </si>
  <si>
    <t>Somme de AUTRES SUBVENTIONS 11530</t>
  </si>
  <si>
    <t>Somme de AUTRES SUBVENTIONS 1610935,1</t>
  </si>
  <si>
    <t>Somme de AUTRES SUBVENTIONS 270000</t>
  </si>
  <si>
    <t>Somme de AUTRES SUBVENTIONS 1097171,15</t>
  </si>
  <si>
    <t>Somme de AUTRES SUBVENTIONS 29518</t>
  </si>
  <si>
    <t>Somme de AUTRES SUBVENTIONS 2066681</t>
  </si>
  <si>
    <t>Somme de AUTRES SUBVENTIONS 200000</t>
  </si>
  <si>
    <t>Somme de AUTRES SUBVENTIONS 1114138,93968677</t>
  </si>
  <si>
    <t>Somme de AUTRES SUBVENTIONS 1900232,32</t>
  </si>
  <si>
    <t>Somme de AUTRES SUBVENTIONS 1134685,53</t>
  </si>
  <si>
    <t>Somme de AUTRES SUBVENTIONS 2060772</t>
  </si>
  <si>
    <t>Somme de AUTRES SUBVENTIONS 1169377</t>
  </si>
  <si>
    <t>Somme de AUTRES SUBVENTIONS 1973763</t>
  </si>
  <si>
    <t>Somme de AUTRES SUBVENTIONS 700000</t>
  </si>
  <si>
    <t>Somme de AUTRES SUBVENTIONS 1181624</t>
  </si>
  <si>
    <t>Somme de AUTRES SUBVENTIONS 2593661</t>
  </si>
  <si>
    <t>Somme de AUTRES SUBVENTIONS 239587</t>
  </si>
  <si>
    <t>Somme de AUTRES SUBVENTIONS 1191366</t>
  </si>
  <si>
    <t>Somme de AUTRES SUBVENTIONS 2362522</t>
  </si>
  <si>
    <t>Somme de AUTRES SUBVENTIONS 384000</t>
  </si>
  <si>
    <t>Somme de AUTRES SUBVENTIONS 1196851</t>
  </si>
  <si>
    <t>Somme de AUTRES SUBVENTIONS 114303</t>
  </si>
  <si>
    <t>Somme de AUTRES SUBVENTIONS 1847820</t>
  </si>
  <si>
    <t>Somme de AUTRES SUBVENTIONS 504000</t>
  </si>
  <si>
    <t>Somme de AUTRES SUBVENTIONS 1210563</t>
  </si>
  <si>
    <t>Somme de AUTRES SUBVENTIONS 30000</t>
  </si>
  <si>
    <t>Somme de AUTRES SUBVENTIONS 2153894</t>
  </si>
  <si>
    <t>Somme de AUTRES SUBVENTIONS 480000</t>
  </si>
  <si>
    <t>Somme de AUTRES SUBVENTIONS 1260005</t>
  </si>
  <si>
    <t>Somme de AUTRES SUBVENTIONS 2105582</t>
  </si>
  <si>
    <t>Somme de AUTRES SUBVENTIONS 656000</t>
  </si>
  <si>
    <t>Somme de AUTRES SUBVENTIONS 1263947</t>
  </si>
  <si>
    <t>Somme de AUTRES SUBVENTIONS 112859,97</t>
  </si>
  <si>
    <t>Somme de AUTRES SUBVENTIONS 1784577</t>
  </si>
  <si>
    <t>Somme de AUTRES SUBVENTIONS 442750</t>
  </si>
  <si>
    <t>Somme de AUTRES SUBVENTIONS 1296418,39</t>
  </si>
  <si>
    <t>Somme de AUTRES SUBVENTIONS 35600</t>
  </si>
  <si>
    <t>Somme de AUTRES SUBVENTIONS 2005966</t>
  </si>
  <si>
    <t>Somme de AUTRES SUBVENTIONS 520000</t>
  </si>
  <si>
    <t>Somme de AUTRES SUBVENTIONS 1301816</t>
  </si>
  <si>
    <t>Somme de AUTRES SUBVENTIONS 2706086</t>
  </si>
  <si>
    <t>Somme de AUTRES SUBVENTIONS 600000</t>
  </si>
  <si>
    <t>Somme de AUTRES SUBVENTIONS 1462622</t>
  </si>
  <si>
    <t>Somme de AUTRES SUBVENTIONS 1110</t>
  </si>
  <si>
    <t>Somme de AUTRES SUBVENTIONS 3186090</t>
  </si>
  <si>
    <t>Somme de AUTRES SUBVENTIONS 1473759,38</t>
  </si>
  <si>
    <t>Somme de AUTRES SUBVENTIONS 2895140,53</t>
  </si>
  <si>
    <t>Somme de AUTRES SUBVENTIONS 663000</t>
  </si>
  <si>
    <t>Somme de AUTRES SUBVENTIONS 1480537</t>
  </si>
  <si>
    <t>Somme de AUTRES SUBVENTIONS 3248644,89</t>
  </si>
  <si>
    <t>Somme de AUTRES SUBVENTIONS 1500443,2</t>
  </si>
  <si>
    <t>Somme de AUTRES SUBVENTIONS 2765236,62</t>
  </si>
  <si>
    <t>Somme de AUTRES SUBVENTIONS 800000</t>
  </si>
  <si>
    <t>Somme de AUTRES SUBVENTIONS 1552800,91</t>
  </si>
  <si>
    <t>Somme de AUTRES SUBVENTIONS 3023907</t>
  </si>
  <si>
    <t>Somme de AUTRES SUBVENTIONS 680000</t>
  </si>
  <si>
    <t>Somme de AUTRES SUBVENTIONS 1600171,58</t>
  </si>
  <si>
    <t>Somme de AUTRES SUBVENTIONS 25000</t>
  </si>
  <si>
    <t>Somme de AUTRES SUBVENTIONS 2760459</t>
  </si>
  <si>
    <t>Somme de AUTRES SUBVENTIONS 945000</t>
  </si>
  <si>
    <t>Somme de AUTRES SUBVENTIONS 1629529</t>
  </si>
  <si>
    <t>Somme de AUTRES SUBVENTIONS 12414</t>
  </si>
  <si>
    <t>Somme de AUTRES SUBVENTIONS 3296474,06</t>
  </si>
  <si>
    <t>Somme de AUTRES SUBVENTIONS 280000</t>
  </si>
  <si>
    <t>Somme de AUTRES SUBVENTIONS 1638956,14</t>
  </si>
  <si>
    <t>Somme de AUTRES SUBVENTIONS 1310249</t>
  </si>
  <si>
    <t>Somme de AUTRES SUBVENTIONS 3189669</t>
  </si>
  <si>
    <t>Somme de AUTRES SUBVENTIONS 1736993</t>
  </si>
  <si>
    <t>Somme de AUTRES SUBVENTIONS 3678947</t>
  </si>
  <si>
    <t>Somme de AUTRES SUBVENTIONS 880000</t>
  </si>
  <si>
    <t>Somme de AUTRES SUBVENTIONS 1905132</t>
  </si>
  <si>
    <t>Somme de AUTRES SUBVENTIONS 3571759,95</t>
  </si>
  <si>
    <t>Somme de AUTRES SUBVENTIONS 1916369</t>
  </si>
  <si>
    <t>Somme de AUTRES SUBVENTIONS 3865450</t>
  </si>
  <si>
    <t>Somme de AUTRES SUBVENTIONS 1100000</t>
  </si>
  <si>
    <t>Somme de AUTRES SUBVENTIONS 1928374</t>
  </si>
  <si>
    <t>Somme de AUTRES SUBVENTIONS 4540907,43</t>
  </si>
  <si>
    <t>Somme de AUTRES SUBVENTIONS 1118000</t>
  </si>
  <si>
    <t>Somme de AUTRES SUBVENTIONS 2234701</t>
  </si>
  <si>
    <t>Somme de AUTRES SUBVENTIONS 3931799,2</t>
  </si>
  <si>
    <t>Somme de AUTRES SUBVENTIONS 660000</t>
  </si>
  <si>
    <t>Somme de AUTRES SUBVENTIONS 2271739</t>
  </si>
  <si>
    <t>Somme de AUTRES SUBVENTIONS 15485</t>
  </si>
  <si>
    <t>Somme de AUTRES SUBVENTIONS 4693223</t>
  </si>
  <si>
    <t>Somme de AUTRES SUBVENTIONS 2438948</t>
  </si>
  <si>
    <t>Somme de AUTRES SUBVENTIONS 4684224</t>
  </si>
  <si>
    <t>Somme de AUTRES SUBVENTIONS 2453735</t>
  </si>
  <si>
    <t>Somme de AUTRES SUBVENTIONS 5272823,875</t>
  </si>
  <si>
    <t>Somme de AUTRES SUBVENTIONS 925000</t>
  </si>
  <si>
    <t>Somme de AUTRES SUBVENTIONS 2572426,04</t>
  </si>
  <si>
    <t>Somme de AUTRES SUBVENTIONS 112832</t>
  </si>
  <si>
    <t>Somme de AUTRES SUBVENTIONS 5285874</t>
  </si>
  <si>
    <t>Somme de AUTRES SUBVENTIONS 406000</t>
  </si>
  <si>
    <t>Somme de AUTRES SUBVENTIONS 2642685</t>
  </si>
  <si>
    <t>Somme de AUTRES SUBVENTIONS 6290107</t>
  </si>
  <si>
    <t>Somme de AUTRES SUBVENTIONS 300000</t>
  </si>
  <si>
    <t>Somme de AUTRES SUBVENTIONS 2932668</t>
  </si>
  <si>
    <t>Somme de AUTRES SUBVENTIONS 101837</t>
  </si>
  <si>
    <t>Somme de AUTRES SUBVENTIONS 5336445</t>
  </si>
  <si>
    <t>Somme de AUTRES SUBVENTIONS 2943213,03736187</t>
  </si>
  <si>
    <t>Somme de AUTRES SUBVENTIONS 6112292,55</t>
  </si>
  <si>
    <t>Somme de AUTRES SUBVENTIONS 790394</t>
  </si>
  <si>
    <t>Somme de AUTRES SUBVENTIONS 3195831</t>
  </si>
  <si>
    <t>Somme de AUTRES SUBVENTIONS 63128</t>
  </si>
  <si>
    <t>Somme de AUTRES SUBVENTIONS 6429606,37</t>
  </si>
  <si>
    <t>Somme de AUTRES SUBVENTIONS 3263643</t>
  </si>
  <si>
    <t>Somme de AUTRES SUBVENTIONS 5918673</t>
  </si>
  <si>
    <t>Somme de AUTRES SUBVENTIONS 3287400</t>
  </si>
  <si>
    <t>Somme de AUTRES SUBVENTIONS 2455687,71</t>
  </si>
  <si>
    <t>Somme de AUTRES SUBVENTIONS 5854059</t>
  </si>
  <si>
    <t>Somme de AUTRES SUBVENTIONS 3306813</t>
  </si>
  <si>
    <t>Somme de AUTRES SUBVENTIONS 57556</t>
  </si>
  <si>
    <t>Somme de AUTRES SUBVENTIONS 7299442</t>
  </si>
  <si>
    <t>Somme de AUTRES SUBVENTIONS 1512000</t>
  </si>
  <si>
    <t>Somme de AUTRES SUBVENTIONS 3808325</t>
  </si>
  <si>
    <t>Somme de AUTRES SUBVENTIONS 7538525,51</t>
  </si>
  <si>
    <t>Somme de AUTRES SUBVENTIONS 995000</t>
  </si>
  <si>
    <t>Somme de AUTRES SUBVENTIONS 3816022,8</t>
  </si>
  <si>
    <t>Somme de AUTRES SUBVENTIONS 8282245</t>
  </si>
  <si>
    <t>Somme de AUTRES SUBVENTIONS 1245000</t>
  </si>
  <si>
    <t>Somme de AUTRES SUBVENTIONS 4422509</t>
  </si>
  <si>
    <t>Somme de AUTRES SUBVENTIONS 21631</t>
  </si>
  <si>
    <t>Somme de AUTRES SUBVENTIONS 27272,05</t>
  </si>
  <si>
    <t>Somme de AUTRES SUBVENTIONS 3563771</t>
  </si>
  <si>
    <t>Somme de AUTRES SUBVENTIONS 3651857</t>
  </si>
  <si>
    <t>Somme de LBU  1120</t>
  </si>
  <si>
    <t>Somme de LBU  1285412</t>
  </si>
  <si>
    <t>Somme de LBU  620464</t>
  </si>
  <si>
    <t>Somme de LBU  (vide)</t>
  </si>
  <si>
    <t>Somme de LBU  2306000</t>
  </si>
  <si>
    <t>Somme de LBU  1267528</t>
  </si>
  <si>
    <t>Somme de LBU  2481000</t>
  </si>
  <si>
    <t>Somme de LBU  1359605</t>
  </si>
  <si>
    <t>Somme de LBU  0</t>
  </si>
  <si>
    <t>Somme de LBU  12327</t>
  </si>
  <si>
    <t>Somme de LBU  335412</t>
  </si>
  <si>
    <t>Somme de LBU  119398</t>
  </si>
  <si>
    <t>Somme de LBU  75000</t>
  </si>
  <si>
    <t>Somme de LBU  604971</t>
  </si>
  <si>
    <t>Somme de LBU  177688</t>
  </si>
  <si>
    <t>Somme de LBU  294297</t>
  </si>
  <si>
    <t>Somme de LBU  486159</t>
  </si>
  <si>
    <t>Somme de LBU  100000</t>
  </si>
  <si>
    <t>Somme de LBU  340124</t>
  </si>
  <si>
    <t>Somme de LBU  864010</t>
  </si>
  <si>
    <t>Somme de LBU  225000</t>
  </si>
  <si>
    <t>Somme de LBU  426409</t>
  </si>
  <si>
    <t>Somme de LBU  18936</t>
  </si>
  <si>
    <t>Somme de LBU  771556</t>
  </si>
  <si>
    <t>Somme de LBU  266000</t>
  </si>
  <si>
    <t>Somme de LBU  443491,89</t>
  </si>
  <si>
    <t>Somme de LBU  1110259</t>
  </si>
  <si>
    <t>Somme de LBU  165000</t>
  </si>
  <si>
    <t>Somme de LBU  553441</t>
  </si>
  <si>
    <t>Somme de LBU  1199946</t>
  </si>
  <si>
    <t>Somme de LBU  1</t>
  </si>
  <si>
    <t>Somme de LBU  614225</t>
  </si>
  <si>
    <t>Somme de LBU  1260196</t>
  </si>
  <si>
    <t>Somme de LBU  500000</t>
  </si>
  <si>
    <t>Somme de LBU  642565</t>
  </si>
  <si>
    <t>Somme de LBU  430</t>
  </si>
  <si>
    <t>Somme de LBU  1041347,98</t>
  </si>
  <si>
    <t>Somme de LBU  60000</t>
  </si>
  <si>
    <t>Somme de LBU  706398,49</t>
  </si>
  <si>
    <t>Somme de LBU  1490303</t>
  </si>
  <si>
    <t>Somme de LBU  432000</t>
  </si>
  <si>
    <t>Somme de LBU  736924</t>
  </si>
  <si>
    <t>Somme de LBU  1240121</t>
  </si>
  <si>
    <t>Somme de LBU  89905</t>
  </si>
  <si>
    <t>Somme de LBU  745095</t>
  </si>
  <si>
    <t>Somme de LBU  1395754</t>
  </si>
  <si>
    <t>Somme de LBU  254997</t>
  </si>
  <si>
    <t>Somme de LBU  750247</t>
  </si>
  <si>
    <t>Somme de LBU  16912</t>
  </si>
  <si>
    <t>Somme de LBU  1359322</t>
  </si>
  <si>
    <t>Somme de LBU  420000</t>
  </si>
  <si>
    <t>Somme de LBU  771141</t>
  </si>
  <si>
    <t>Somme de LBU  26756</t>
  </si>
  <si>
    <t>Somme de LBU  1544668</t>
  </si>
  <si>
    <t>Somme de LBU  400000</t>
  </si>
  <si>
    <t>Somme de LBU  803098</t>
  </si>
  <si>
    <t>Somme de LBU  1314229</t>
  </si>
  <si>
    <t>Somme de LBU  393831</t>
  </si>
  <si>
    <t>Somme de LBU  835967</t>
  </si>
  <si>
    <t>Somme de LBU  53682</t>
  </si>
  <si>
    <t>Somme de LBU  1530227</t>
  </si>
  <si>
    <t>Somme de LBU  380000</t>
  </si>
  <si>
    <t>Somme de LBU  853424</t>
  </si>
  <si>
    <t>Somme de LBU  5055</t>
  </si>
  <si>
    <t>Somme de LBU  1596953,37</t>
  </si>
  <si>
    <t>Somme de LBU  320000</t>
  </si>
  <si>
    <t>Somme de LBU  863024</t>
  </si>
  <si>
    <t>Somme de LBU  8336</t>
  </si>
  <si>
    <t>Somme de LBU  1657979</t>
  </si>
  <si>
    <t>Somme de LBU  360000</t>
  </si>
  <si>
    <t>Somme de LBU  866175,59</t>
  </si>
  <si>
    <t>Somme de LBU  1772076</t>
  </si>
  <si>
    <t>Somme de LBU  529000</t>
  </si>
  <si>
    <t>Somme de LBU  901691</t>
  </si>
  <si>
    <t>Somme de LBU  1895079</t>
  </si>
  <si>
    <t>Somme de LBU  558000</t>
  </si>
  <si>
    <t>Somme de LBU  929819</t>
  </si>
  <si>
    <t>Somme de LBU  46180</t>
  </si>
  <si>
    <t>Somme de LBU  2024741</t>
  </si>
  <si>
    <t>Somme de LBU  982780</t>
  </si>
  <si>
    <t>Somme de LBU  2051712</t>
  </si>
  <si>
    <t>Somme de LBU  1042673</t>
  </si>
  <si>
    <t>Somme de LBU  2287466</t>
  </si>
  <si>
    <t>Somme de LBU  355000</t>
  </si>
  <si>
    <t>Somme de LBU  1090090</t>
  </si>
  <si>
    <t>Somme de LBU  11530</t>
  </si>
  <si>
    <t>Somme de LBU  1610935,1</t>
  </si>
  <si>
    <t>Somme de LBU  270000</t>
  </si>
  <si>
    <t>Somme de LBU  1097171,15</t>
  </si>
  <si>
    <t>Somme de LBU  29518</t>
  </si>
  <si>
    <t>Somme de LBU  2066681</t>
  </si>
  <si>
    <t>Somme de LBU  200000</t>
  </si>
  <si>
    <t>Somme de LBU  1114138,93968677</t>
  </si>
  <si>
    <t>Somme de LBU  1900232,32</t>
  </si>
  <si>
    <t>Somme de LBU  1134685,53</t>
  </si>
  <si>
    <t>Somme de LBU  2060772</t>
  </si>
  <si>
    <t>Somme de LBU  1169377</t>
  </si>
  <si>
    <t>Somme de LBU  1973763</t>
  </si>
  <si>
    <t>Somme de LBU  700000</t>
  </si>
  <si>
    <t>Somme de LBU  1181624</t>
  </si>
  <si>
    <t>Somme de LBU  2593661</t>
  </si>
  <si>
    <t>Somme de LBU  239587</t>
  </si>
  <si>
    <t>Somme de LBU  1191366</t>
  </si>
  <si>
    <t>Somme de LBU  2362522</t>
  </si>
  <si>
    <t>Somme de LBU  384000</t>
  </si>
  <si>
    <t>Somme de LBU  1196851</t>
  </si>
  <si>
    <t>Somme de LBU  114303</t>
  </si>
  <si>
    <t>Somme de LBU  1847820</t>
  </si>
  <si>
    <t>Somme de LBU  504000</t>
  </si>
  <si>
    <t>Somme de LBU  1210563</t>
  </si>
  <si>
    <t>Somme de LBU  30000</t>
  </si>
  <si>
    <t>Somme de LBU  2153894</t>
  </si>
  <si>
    <t>Somme de LBU  480000</t>
  </si>
  <si>
    <t>Somme de LBU  1260005</t>
  </si>
  <si>
    <t>Somme de LBU  2105582</t>
  </si>
  <si>
    <t>Somme de LBU  656000</t>
  </si>
  <si>
    <t>Somme de LBU  1263947</t>
  </si>
  <si>
    <t>Somme de LBU  112859,97</t>
  </si>
  <si>
    <t>Somme de LBU  1784577</t>
  </si>
  <si>
    <t>Somme de LBU  442750</t>
  </si>
  <si>
    <t>Somme de LBU  1296418,39</t>
  </si>
  <si>
    <t>Somme de LBU  35600</t>
  </si>
  <si>
    <t>Somme de LBU  2005966</t>
  </si>
  <si>
    <t>Somme de LBU  520000</t>
  </si>
  <si>
    <t>Somme de LBU  1301816</t>
  </si>
  <si>
    <t>Somme de LBU  2706086</t>
  </si>
  <si>
    <t>Somme de LBU  600000</t>
  </si>
  <si>
    <t>Somme de LBU  1462622</t>
  </si>
  <si>
    <t>Somme de LBU  1110</t>
  </si>
  <si>
    <t>Somme de LBU  3186090</t>
  </si>
  <si>
    <t>Somme de LBU  1473759,38</t>
  </si>
  <si>
    <t>Somme de LBU  2895140,53</t>
  </si>
  <si>
    <t>Somme de LBU  663000</t>
  </si>
  <si>
    <t>Somme de LBU  1480537</t>
  </si>
  <si>
    <t>Somme de LBU  3248644,89</t>
  </si>
  <si>
    <t>Somme de LBU  1500443,2</t>
  </si>
  <si>
    <t>Somme de LBU  2765236,62</t>
  </si>
  <si>
    <t>Somme de LBU  800000</t>
  </si>
  <si>
    <t>Somme de LBU  1552800,91</t>
  </si>
  <si>
    <t>Somme de LBU  3023907</t>
  </si>
  <si>
    <t>Somme de LBU  680000</t>
  </si>
  <si>
    <t>Somme de LBU  1600171,58</t>
  </si>
  <si>
    <t>Somme de LBU  25000</t>
  </si>
  <si>
    <t>Somme de LBU  2760459</t>
  </si>
  <si>
    <t>Somme de LBU  945000</t>
  </si>
  <si>
    <t>Somme de LBU  1629529</t>
  </si>
  <si>
    <t>Somme de LBU  12414</t>
  </si>
  <si>
    <t>Somme de LBU  3296474,06</t>
  </si>
  <si>
    <t>Somme de LBU  280000</t>
  </si>
  <si>
    <t>Somme de LBU  1638956,14</t>
  </si>
  <si>
    <t>Somme de LBU  1310249</t>
  </si>
  <si>
    <t>Somme de LBU  3189669</t>
  </si>
  <si>
    <t>Somme de LBU  1736993</t>
  </si>
  <si>
    <t>Somme de LBU  3678947</t>
  </si>
  <si>
    <t>Somme de LBU  880000</t>
  </si>
  <si>
    <t>Somme de LBU  1905132</t>
  </si>
  <si>
    <t>Somme de LBU  3571759,95</t>
  </si>
  <si>
    <t>Somme de LBU  1916369</t>
  </si>
  <si>
    <t>Somme de LBU  3865450</t>
  </si>
  <si>
    <t>Somme de LBU  1100000</t>
  </si>
  <si>
    <t>Somme de LBU  1928374</t>
  </si>
  <si>
    <t>Somme de LBU  4540907,43</t>
  </si>
  <si>
    <t>Somme de LBU  1118000</t>
  </si>
  <si>
    <t>Somme de LBU  2234701</t>
  </si>
  <si>
    <t>Somme de LBU  3931799,2</t>
  </si>
  <si>
    <t>Somme de LBU  660000</t>
  </si>
  <si>
    <t>Somme de LBU  2271739</t>
  </si>
  <si>
    <t>Somme de LBU  15485</t>
  </si>
  <si>
    <t>Somme de LBU  4693223</t>
  </si>
  <si>
    <t>Somme de LBU  2438948</t>
  </si>
  <si>
    <t>Somme de LBU  4684224</t>
  </si>
  <si>
    <t>Somme de LBU  2453735</t>
  </si>
  <si>
    <t>Somme de LBU  5272823,875</t>
  </si>
  <si>
    <t>Somme de LBU  925000</t>
  </si>
  <si>
    <t>Somme de LBU  2572426,04</t>
  </si>
  <si>
    <t>Somme de LBU  112832</t>
  </si>
  <si>
    <t>Somme de LBU  5285874</t>
  </si>
  <si>
    <t>Somme de LBU  406000</t>
  </si>
  <si>
    <t>Somme de LBU  2642685</t>
  </si>
  <si>
    <t>Somme de LBU  6290107</t>
  </si>
  <si>
    <t>Somme de LBU  300000</t>
  </si>
  <si>
    <t>Somme de LBU  2932668</t>
  </si>
  <si>
    <t>Somme de LBU  101837</t>
  </si>
  <si>
    <t>Somme de LBU  5336445</t>
  </si>
  <si>
    <t>Somme de LBU  2943213,03736187</t>
  </si>
  <si>
    <t>Somme de LBU  6112292,55</t>
  </si>
  <si>
    <t>Somme de LBU  790394</t>
  </si>
  <si>
    <t>Somme de LBU  3195831</t>
  </si>
  <si>
    <t>Somme de LBU  63128</t>
  </si>
  <si>
    <t>Somme de LBU  6429606,37</t>
  </si>
  <si>
    <t>Somme de LBU  3263643</t>
  </si>
  <si>
    <t>Somme de LBU  5918673</t>
  </si>
  <si>
    <t>Somme de LBU  3287400</t>
  </si>
  <si>
    <t>Somme de LBU  2455687,71</t>
  </si>
  <si>
    <t>Somme de LBU  5854059</t>
  </si>
  <si>
    <t>Somme de LBU  3306813</t>
  </si>
  <si>
    <t>Somme de LBU  57556</t>
  </si>
  <si>
    <t>Somme de LBU  7299442</t>
  </si>
  <si>
    <t>Somme de LBU  1512000</t>
  </si>
  <si>
    <t>Somme de LBU  3808325</t>
  </si>
  <si>
    <t>Somme de LBU  7538525,51</t>
  </si>
  <si>
    <t>Somme de LBU  995000</t>
  </si>
  <si>
    <t>Somme de LBU  3816022,8</t>
  </si>
  <si>
    <t>Somme de LBU  8282245</t>
  </si>
  <si>
    <t>Somme de LBU  1245000</t>
  </si>
  <si>
    <t>Somme de LBU  4422509</t>
  </si>
  <si>
    <t>Somme de LBU  21631</t>
  </si>
  <si>
    <t>Somme de LBU  27272,05</t>
  </si>
  <si>
    <t>Somme de LBU  3563771</t>
  </si>
  <si>
    <t>Somme de LBU  3651857</t>
  </si>
  <si>
    <t>Somme de PRÊT 2 1120</t>
  </si>
  <si>
    <t>Somme de PRÊT 2 1285412</t>
  </si>
  <si>
    <t>Somme de PRÊT 2 620464</t>
  </si>
  <si>
    <t>Somme de PRÊT 2 (vide)</t>
  </si>
  <si>
    <t>Somme de PRÊT 2 2306000</t>
  </si>
  <si>
    <t>Somme de PRÊT 2 1267528</t>
  </si>
  <si>
    <t>Somme de PRÊT 2 2481000</t>
  </si>
  <si>
    <t>Somme de PRÊT 2 1359605</t>
  </si>
  <si>
    <t>Somme de PRÊT 2 0</t>
  </si>
  <si>
    <t>Somme de PRÊT 2 12327</t>
  </si>
  <si>
    <t>Somme de PRÊT 2 335412</t>
  </si>
  <si>
    <t>Somme de PRÊT 2 119398</t>
  </si>
  <si>
    <t>Somme de PRÊT 2 75000</t>
  </si>
  <si>
    <t>Somme de PRÊT 2 604971</t>
  </si>
  <si>
    <t>Somme de PRÊT 2 177688</t>
  </si>
  <si>
    <t>Somme de PRÊT 2 294297</t>
  </si>
  <si>
    <t>Somme de PRÊT 2 486159</t>
  </si>
  <si>
    <t>Somme de PRÊT 2 100000</t>
  </si>
  <si>
    <t>Somme de PRÊT 2 340124</t>
  </si>
  <si>
    <t>Somme de PRÊT 2 864010</t>
  </si>
  <si>
    <t>Somme de PRÊT 2 225000</t>
  </si>
  <si>
    <t>Somme de PRÊT 2 426409</t>
  </si>
  <si>
    <t>Somme de PRÊT 2 18936</t>
  </si>
  <si>
    <t>Somme de PRÊT 2 771556</t>
  </si>
  <si>
    <t>Somme de PRÊT 2 266000</t>
  </si>
  <si>
    <t>Somme de PRÊT 2 443491,89</t>
  </si>
  <si>
    <t>Somme de PRÊT 2 1110259</t>
  </si>
  <si>
    <t>Somme de PRÊT 2 165000</t>
  </si>
  <si>
    <t>Somme de PRÊT 2 553441</t>
  </si>
  <si>
    <t>Somme de PRÊT 2 1199946</t>
  </si>
  <si>
    <t>Somme de PRÊT 2 1</t>
  </si>
  <si>
    <t>Somme de PRÊT 2 614225</t>
  </si>
  <si>
    <t>Somme de PRÊT 2 1260196</t>
  </si>
  <si>
    <t>Somme de PRÊT 2 500000</t>
  </si>
  <si>
    <t>Somme de PRÊT 2 642565</t>
  </si>
  <si>
    <t>Somme de PRÊT 2 430</t>
  </si>
  <si>
    <t>Somme de PRÊT 2 1041347,98</t>
  </si>
  <si>
    <t>Somme de PRÊT 2 60000</t>
  </si>
  <si>
    <t>Somme de PRÊT 2 706398,49</t>
  </si>
  <si>
    <t>Somme de PRÊT 2 1490303</t>
  </si>
  <si>
    <t>Somme de PRÊT 2 432000</t>
  </si>
  <si>
    <t>Somme de PRÊT 2 736924</t>
  </si>
  <si>
    <t>Somme de PRÊT 2 1240121</t>
  </si>
  <si>
    <t>Somme de PRÊT 2 89905</t>
  </si>
  <si>
    <t>Somme de PRÊT 2 745095</t>
  </si>
  <si>
    <t>Somme de PRÊT 2 1395754</t>
  </si>
  <si>
    <t>Somme de PRÊT 2 254997</t>
  </si>
  <si>
    <t>Somme de PRÊT 2 750247</t>
  </si>
  <si>
    <t>Somme de PRÊT 2 16912</t>
  </si>
  <si>
    <t>Somme de PRÊT 2 1359322</t>
  </si>
  <si>
    <t>Somme de PRÊT 2 420000</t>
  </si>
  <si>
    <t>Somme de PRÊT 2 771141</t>
  </si>
  <si>
    <t>Somme de PRÊT 2 26756</t>
  </si>
  <si>
    <t>Somme de PRÊT 2 1544668</t>
  </si>
  <si>
    <t>Somme de PRÊT 2 400000</t>
  </si>
  <si>
    <t>Somme de PRÊT 2 803098</t>
  </si>
  <si>
    <t>Somme de PRÊT 2 1314229</t>
  </si>
  <si>
    <t>Somme de PRÊT 2 393831</t>
  </si>
  <si>
    <t>Somme de PRÊT 2 835967</t>
  </si>
  <si>
    <t>Somme de PRÊT 2 53682</t>
  </si>
  <si>
    <t>Somme de PRÊT 2 1530227</t>
  </si>
  <si>
    <t>Somme de PRÊT 2 380000</t>
  </si>
  <si>
    <t>Somme de PRÊT 2 853424</t>
  </si>
  <si>
    <t>Somme de PRÊT 2 5055</t>
  </si>
  <si>
    <t>Somme de PRÊT 2 1596953,37</t>
  </si>
  <si>
    <t>Somme de PRÊT 2 320000</t>
  </si>
  <si>
    <t>Somme de PRÊT 2 863024</t>
  </si>
  <si>
    <t>Somme de PRÊT 2 8336</t>
  </si>
  <si>
    <t>Somme de PRÊT 2 1657979</t>
  </si>
  <si>
    <t>Somme de PRÊT 2 360000</t>
  </si>
  <si>
    <t>Somme de PRÊT 2 866175,59</t>
  </si>
  <si>
    <t>Somme de PRÊT 2 1772076</t>
  </si>
  <si>
    <t>Somme de PRÊT 2 529000</t>
  </si>
  <si>
    <t>Somme de PRÊT 2 901691</t>
  </si>
  <si>
    <t>Somme de PRÊT 2 1895079</t>
  </si>
  <si>
    <t>Somme de PRÊT 2 558000</t>
  </si>
  <si>
    <t>Somme de PRÊT 2 929819</t>
  </si>
  <si>
    <t>Somme de PRÊT 2 46180</t>
  </si>
  <si>
    <t>Somme de PRÊT 2 2024741</t>
  </si>
  <si>
    <t>Somme de PRÊT 2 982780</t>
  </si>
  <si>
    <t>Somme de PRÊT 2 2051712</t>
  </si>
  <si>
    <t>Somme de PRÊT 2 1042673</t>
  </si>
  <si>
    <t>Somme de PRÊT 2 2287466</t>
  </si>
  <si>
    <t>Somme de PRÊT 2 355000</t>
  </si>
  <si>
    <t>Somme de PRÊT 2 1090090</t>
  </si>
  <si>
    <t>Somme de PRÊT 2 11530</t>
  </si>
  <si>
    <t>Somme de PRÊT 2 1610935,1</t>
  </si>
  <si>
    <t>Somme de PRÊT 2 270000</t>
  </si>
  <si>
    <t>Somme de PRÊT 2 1097171,15</t>
  </si>
  <si>
    <t>Somme de PRÊT 2 29518</t>
  </si>
  <si>
    <t>Somme de PRÊT 2 2066681</t>
  </si>
  <si>
    <t>Somme de PRÊT 2 200000</t>
  </si>
  <si>
    <t>Somme de PRÊT 2 1114138,93968677</t>
  </si>
  <si>
    <t>Somme de PRÊT 2 1900232,32</t>
  </si>
  <si>
    <t>Somme de PRÊT 2 1134685,53</t>
  </si>
  <si>
    <t>Somme de PRÊT 2 2060772</t>
  </si>
  <si>
    <t>Somme de PRÊT 2 1169377</t>
  </si>
  <si>
    <t>Somme de PRÊT 2 1973763</t>
  </si>
  <si>
    <t>Somme de PRÊT 2 700000</t>
  </si>
  <si>
    <t>Somme de PRÊT 2 1181624</t>
  </si>
  <si>
    <t>Somme de PRÊT 2 2593661</t>
  </si>
  <si>
    <t>Somme de PRÊT 2 239587</t>
  </si>
  <si>
    <t>Somme de PRÊT 2 1191366</t>
  </si>
  <si>
    <t>Somme de PRÊT 2 2362522</t>
  </si>
  <si>
    <t>Somme de PRÊT 2 384000</t>
  </si>
  <si>
    <t>Somme de PRÊT 2 1196851</t>
  </si>
  <si>
    <t>Somme de PRÊT 2 114303</t>
  </si>
  <si>
    <t>Somme de PRÊT 2 1847820</t>
  </si>
  <si>
    <t>Somme de PRÊT 2 504000</t>
  </si>
  <si>
    <t>Somme de PRÊT 2 1210563</t>
  </si>
  <si>
    <t>Somme de PRÊT 2 30000</t>
  </si>
  <si>
    <t>Somme de PRÊT 2 2153894</t>
  </si>
  <si>
    <t>Somme de PRÊT 2 480000</t>
  </si>
  <si>
    <t>Somme de PRÊT 2 1260005</t>
  </si>
  <si>
    <t>Somme de PRÊT 2 2105582</t>
  </si>
  <si>
    <t>Somme de PRÊT 2 656000</t>
  </si>
  <si>
    <t>Somme de PRÊT 2 1263947</t>
  </si>
  <si>
    <t>Somme de PRÊT 2 112859,97</t>
  </si>
  <si>
    <t>Somme de PRÊT 2 1784577</t>
  </si>
  <si>
    <t>Somme de PRÊT 2 442750</t>
  </si>
  <si>
    <t>Somme de PRÊT 2 1296418,39</t>
  </si>
  <si>
    <t>Somme de PRÊT 2 35600</t>
  </si>
  <si>
    <t>Somme de PRÊT 2 2005966</t>
  </si>
  <si>
    <t>Somme de PRÊT 2 520000</t>
  </si>
  <si>
    <t>Somme de PRÊT 2 1301816</t>
  </si>
  <si>
    <t>Somme de PRÊT 2 2706086</t>
  </si>
  <si>
    <t>Somme de PRÊT 2 600000</t>
  </si>
  <si>
    <t>Somme de PRÊT 2 1462622</t>
  </si>
  <si>
    <t>Somme de PRÊT 2 1110</t>
  </si>
  <si>
    <t>Somme de PRÊT 2 3186090</t>
  </si>
  <si>
    <t>Somme de PRÊT 2 1473759,38</t>
  </si>
  <si>
    <t>Somme de PRÊT 2 2895140,53</t>
  </si>
  <si>
    <t>Somme de PRÊT 2 663000</t>
  </si>
  <si>
    <t>Somme de PRÊT 2 1480537</t>
  </si>
  <si>
    <t>Somme de PRÊT 2 3248644,89</t>
  </si>
  <si>
    <t>Somme de PRÊT 2 1500443,2</t>
  </si>
  <si>
    <t>Somme de PRÊT 2 2765236,62</t>
  </si>
  <si>
    <t>Somme de PRÊT 2 800000</t>
  </si>
  <si>
    <t>Somme de PRÊT 2 1552800,91</t>
  </si>
  <si>
    <t>Somme de PRÊT 2 3023907</t>
  </si>
  <si>
    <t>Somme de PRÊT 2 680000</t>
  </si>
  <si>
    <t>Somme de PRÊT 2 1600171,58</t>
  </si>
  <si>
    <t>Somme de PRÊT 2 25000</t>
  </si>
  <si>
    <t>Somme de PRÊT 2 2760459</t>
  </si>
  <si>
    <t>Somme de PRÊT 2 945000</t>
  </si>
  <si>
    <t>Somme de PRÊT 2 1629529</t>
  </si>
  <si>
    <t>Somme de PRÊT 2 12414</t>
  </si>
  <si>
    <t>Somme de PRÊT 2 3296474,06</t>
  </si>
  <si>
    <t>Somme de PRÊT 2 280000</t>
  </si>
  <si>
    <t>Somme de PRÊT 2 1638956,14</t>
  </si>
  <si>
    <t>Somme de PRÊT 2 1310249</t>
  </si>
  <si>
    <t>Somme de PRÊT 2 3189669</t>
  </si>
  <si>
    <t>Somme de PRÊT 2 1736993</t>
  </si>
  <si>
    <t>Somme de PRÊT 2 3678947</t>
  </si>
  <si>
    <t>Somme de PRÊT 2 880000</t>
  </si>
  <si>
    <t>Somme de PRÊT 2 1905132</t>
  </si>
  <si>
    <t>Somme de PRÊT 2 3571759,95</t>
  </si>
  <si>
    <t>Somme de PRÊT 2 1916369</t>
  </si>
  <si>
    <t>Somme de PRÊT 2 3865450</t>
  </si>
  <si>
    <t>Somme de PRÊT 2 1100000</t>
  </si>
  <si>
    <t>Somme de PRÊT 2 1928374</t>
  </si>
  <si>
    <t>Somme de PRÊT 2 4540907,43</t>
  </si>
  <si>
    <t>Somme de PRÊT 2 1118000</t>
  </si>
  <si>
    <t>Somme de PRÊT 2 2234701</t>
  </si>
  <si>
    <t>Somme de PRÊT 2 3931799,2</t>
  </si>
  <si>
    <t>Somme de PRÊT 2 660000</t>
  </si>
  <si>
    <t>Somme de PRÊT 2 2271739</t>
  </si>
  <si>
    <t>Somme de PRÊT 2 15485</t>
  </si>
  <si>
    <t>Somme de PRÊT 2 4693223</t>
  </si>
  <si>
    <t>Somme de PRÊT 2 2438948</t>
  </si>
  <si>
    <t>Somme de PRÊT 2 4684224</t>
  </si>
  <si>
    <t>Somme de PRÊT 2 2453735</t>
  </si>
  <si>
    <t>Somme de PRÊT 2 5272823,875</t>
  </si>
  <si>
    <t>Somme de PRÊT 2 925000</t>
  </si>
  <si>
    <t>Somme de PRÊT 2 2572426,04</t>
  </si>
  <si>
    <t>Somme de PRÊT 2 112832</t>
  </si>
  <si>
    <t>Somme de PRÊT 2 5285874</t>
  </si>
  <si>
    <t>Somme de PRÊT 2 406000</t>
  </si>
  <si>
    <t>Somme de PRÊT 2 2642685</t>
  </si>
  <si>
    <t>Somme de PRÊT 2 6290107</t>
  </si>
  <si>
    <t>Somme de PRÊT 2 300000</t>
  </si>
  <si>
    <t>Somme de PRÊT 2 2932668</t>
  </si>
  <si>
    <t>Somme de PRÊT 2 101837</t>
  </si>
  <si>
    <t>Somme de PRÊT 2 5336445</t>
  </si>
  <si>
    <t>Somme de PRÊT 2 2943213,03736187</t>
  </si>
  <si>
    <t>Somme de PRÊT 2 6112292,55</t>
  </si>
  <si>
    <t>Somme de PRÊT 2 790394</t>
  </si>
  <si>
    <t>Somme de PRÊT 2 3195831</t>
  </si>
  <si>
    <t>Somme de PRÊT 2 63128</t>
  </si>
  <si>
    <t>Somme de PRÊT 2 6429606,37</t>
  </si>
  <si>
    <t>Somme de PRÊT 2 3263643</t>
  </si>
  <si>
    <t>Somme de PRÊT 2 5918673</t>
  </si>
  <si>
    <t>Somme de PRÊT 2 3287400</t>
  </si>
  <si>
    <t>Somme de PRÊT 2 2455687,71</t>
  </si>
  <si>
    <t>Somme de PRÊT 2 5854059</t>
  </si>
  <si>
    <t>Somme de PRÊT 2 3306813</t>
  </si>
  <si>
    <t>Somme de PRÊT 2 57556</t>
  </si>
  <si>
    <t>Somme de PRÊT 2 7299442</t>
  </si>
  <si>
    <t>Somme de PRÊT 2 1512000</t>
  </si>
  <si>
    <t>Somme de PRÊT 2 3808325</t>
  </si>
  <si>
    <t>Somme de PRÊT 2 7538525,51</t>
  </si>
  <si>
    <t>Somme de PRÊT 2 995000</t>
  </si>
  <si>
    <t>Somme de PRÊT 2 3816022,8</t>
  </si>
  <si>
    <t>Somme de PRÊT 2 8282245</t>
  </si>
  <si>
    <t>Somme de PRÊT 2 1245000</t>
  </si>
  <si>
    <t>Somme de PRÊT 2 4422509</t>
  </si>
  <si>
    <t>Somme de PRÊT 2 21631</t>
  </si>
  <si>
    <t>Somme de PRÊT 2 27272,05</t>
  </si>
  <si>
    <t>Somme de PRÊT 2 3563771</t>
  </si>
  <si>
    <t>Somme de PRÊT 2 3651857</t>
  </si>
  <si>
    <t>Somme de DEFISC  1120</t>
  </si>
  <si>
    <t>Somme de DEFISC  1285412</t>
  </si>
  <si>
    <t>Somme de DEFISC  620464</t>
  </si>
  <si>
    <t>Somme de DEFISC  (vide)</t>
  </si>
  <si>
    <t>Somme de DEFISC  2306000</t>
  </si>
  <si>
    <t>Somme de DEFISC  1267528</t>
  </si>
  <si>
    <t>Somme de DEFISC  2481000</t>
  </si>
  <si>
    <t>Somme de DEFISC  1359605</t>
  </si>
  <si>
    <t>Somme de DEFISC  0</t>
  </si>
  <si>
    <t>Somme de DEFISC  12327</t>
  </si>
  <si>
    <t>Somme de DEFISC  335412</t>
  </si>
  <si>
    <t>Somme de DEFISC  119398</t>
  </si>
  <si>
    <t>Somme de DEFISC  75000</t>
  </si>
  <si>
    <t>Somme de DEFISC  604971</t>
  </si>
  <si>
    <t>Somme de DEFISC  177688</t>
  </si>
  <si>
    <t>Somme de DEFISC  294297</t>
  </si>
  <si>
    <t>Somme de DEFISC  486159</t>
  </si>
  <si>
    <t>Somme de DEFISC  100000</t>
  </si>
  <si>
    <t>Somme de DEFISC  340124</t>
  </si>
  <si>
    <t>Somme de DEFISC  864010</t>
  </si>
  <si>
    <t>Somme de DEFISC  225000</t>
  </si>
  <si>
    <t>Somme de DEFISC  426409</t>
  </si>
  <si>
    <t>Somme de DEFISC  18936</t>
  </si>
  <si>
    <t>Somme de DEFISC  771556</t>
  </si>
  <si>
    <t>Somme de DEFISC  266000</t>
  </si>
  <si>
    <t>Somme de DEFISC  443491,89</t>
  </si>
  <si>
    <t>Somme de DEFISC  1110259</t>
  </si>
  <si>
    <t>Somme de DEFISC  165000</t>
  </si>
  <si>
    <t>Somme de DEFISC  553441</t>
  </si>
  <si>
    <t>Somme de DEFISC  1199946</t>
  </si>
  <si>
    <t>Somme de DEFISC  1</t>
  </si>
  <si>
    <t>Somme de DEFISC  614225</t>
  </si>
  <si>
    <t>Somme de DEFISC  1260196</t>
  </si>
  <si>
    <t>Somme de DEFISC  500000</t>
  </si>
  <si>
    <t>Somme de DEFISC  642565</t>
  </si>
  <si>
    <t>Somme de DEFISC  430</t>
  </si>
  <si>
    <t>Somme de DEFISC  1041347,98</t>
  </si>
  <si>
    <t>Somme de DEFISC  60000</t>
  </si>
  <si>
    <t>Somme de DEFISC  706398,49</t>
  </si>
  <si>
    <t>Somme de DEFISC  1490303</t>
  </si>
  <si>
    <t>Somme de DEFISC  432000</t>
  </si>
  <si>
    <t>Somme de DEFISC  736924</t>
  </si>
  <si>
    <t>Somme de DEFISC  1240121</t>
  </si>
  <si>
    <t>Somme de DEFISC  89905</t>
  </si>
  <si>
    <t>Somme de DEFISC  745095</t>
  </si>
  <si>
    <t>Somme de DEFISC  1395754</t>
  </si>
  <si>
    <t>Somme de DEFISC  254997</t>
  </si>
  <si>
    <t>Somme de DEFISC  750247</t>
  </si>
  <si>
    <t>Somme de DEFISC  16912</t>
  </si>
  <si>
    <t>Somme de DEFISC  1359322</t>
  </si>
  <si>
    <t>Somme de DEFISC  420000</t>
  </si>
  <si>
    <t>Somme de DEFISC  771141</t>
  </si>
  <si>
    <t>Somme de DEFISC  26756</t>
  </si>
  <si>
    <t>Somme de DEFISC  1544668</t>
  </si>
  <si>
    <t>Somme de DEFISC  400000</t>
  </si>
  <si>
    <t>Somme de DEFISC  803098</t>
  </si>
  <si>
    <t>Somme de DEFISC  1314229</t>
  </si>
  <si>
    <t>Somme de DEFISC  393831</t>
  </si>
  <si>
    <t>Somme de DEFISC  835967</t>
  </si>
  <si>
    <t>Somme de DEFISC  53682</t>
  </si>
  <si>
    <t>Somme de DEFISC  1530227</t>
  </si>
  <si>
    <t>Somme de DEFISC  380000</t>
  </si>
  <si>
    <t>Somme de DEFISC  853424</t>
  </si>
  <si>
    <t>Somme de DEFISC  5055</t>
  </si>
  <si>
    <t>Somme de DEFISC  1596953,37</t>
  </si>
  <si>
    <t>Somme de DEFISC  320000</t>
  </si>
  <si>
    <t>Somme de DEFISC  863024</t>
  </si>
  <si>
    <t>Somme de DEFISC  8336</t>
  </si>
  <si>
    <t>Somme de DEFISC  1657979</t>
  </si>
  <si>
    <t>Somme de DEFISC  360000</t>
  </si>
  <si>
    <t>Somme de DEFISC  866175,59</t>
  </si>
  <si>
    <t>Somme de DEFISC  1772076</t>
  </si>
  <si>
    <t>Somme de DEFISC  529000</t>
  </si>
  <si>
    <t>Somme de DEFISC  901691</t>
  </si>
  <si>
    <t>Somme de DEFISC  1895079</t>
  </si>
  <si>
    <t>Somme de DEFISC  558000</t>
  </si>
  <si>
    <t>Somme de DEFISC  929819</t>
  </si>
  <si>
    <t>Somme de DEFISC  46180</t>
  </si>
  <si>
    <t>Somme de DEFISC  2024741</t>
  </si>
  <si>
    <t>Somme de DEFISC  982780</t>
  </si>
  <si>
    <t>Somme de DEFISC  2051712</t>
  </si>
  <si>
    <t>Somme de DEFISC  1042673</t>
  </si>
  <si>
    <t>Somme de DEFISC  2287466</t>
  </si>
  <si>
    <t>Somme de DEFISC  355000</t>
  </si>
  <si>
    <t>Somme de DEFISC  1090090</t>
  </si>
  <si>
    <t>Somme de DEFISC  11530</t>
  </si>
  <si>
    <t>Somme de DEFISC  1610935,1</t>
  </si>
  <si>
    <t>Somme de DEFISC  270000</t>
  </si>
  <si>
    <t>Somme de DEFISC  1097171,15</t>
  </si>
  <si>
    <t>Somme de DEFISC  29518</t>
  </si>
  <si>
    <t>Somme de DEFISC  2066681</t>
  </si>
  <si>
    <t>Somme de DEFISC  200000</t>
  </si>
  <si>
    <t>Somme de DEFISC  1114138,93968677</t>
  </si>
  <si>
    <t>Somme de DEFISC  1900232,32</t>
  </si>
  <si>
    <t>Somme de DEFISC  1134685,53</t>
  </si>
  <si>
    <t>Somme de DEFISC  2060772</t>
  </si>
  <si>
    <t>Somme de DEFISC  1169377</t>
  </si>
  <si>
    <t>Somme de DEFISC  1973763</t>
  </si>
  <si>
    <t>Somme de DEFISC  700000</t>
  </si>
  <si>
    <t>Somme de DEFISC  1181624</t>
  </si>
  <si>
    <t>Somme de DEFISC  2593661</t>
  </si>
  <si>
    <t>Somme de DEFISC  239587</t>
  </si>
  <si>
    <t>Somme de DEFISC  1191366</t>
  </si>
  <si>
    <t>Somme de DEFISC  2362522</t>
  </si>
  <si>
    <t>Somme de DEFISC  384000</t>
  </si>
  <si>
    <t>Somme de DEFISC  1196851</t>
  </si>
  <si>
    <t>Somme de DEFISC  114303</t>
  </si>
  <si>
    <t>Somme de DEFISC  1847820</t>
  </si>
  <si>
    <t>Somme de DEFISC  504000</t>
  </si>
  <si>
    <t>Somme de DEFISC  1210563</t>
  </si>
  <si>
    <t>Somme de DEFISC  30000</t>
  </si>
  <si>
    <t>Somme de DEFISC  2153894</t>
  </si>
  <si>
    <t>Somme de DEFISC  480000</t>
  </si>
  <si>
    <t>Somme de DEFISC  1260005</t>
  </si>
  <si>
    <t>Somme de DEFISC  2105582</t>
  </si>
  <si>
    <t>Somme de DEFISC  656000</t>
  </si>
  <si>
    <t>Somme de DEFISC  1263947</t>
  </si>
  <si>
    <t>Somme de DEFISC  112859,97</t>
  </si>
  <si>
    <t>Somme de DEFISC  1784577</t>
  </si>
  <si>
    <t>Somme de DEFISC  442750</t>
  </si>
  <si>
    <t>Somme de DEFISC  1296418,39</t>
  </si>
  <si>
    <t>Somme de DEFISC  35600</t>
  </si>
  <si>
    <t>Somme de DEFISC  2005966</t>
  </si>
  <si>
    <t>Somme de DEFISC  520000</t>
  </si>
  <si>
    <t>Somme de DEFISC  1301816</t>
  </si>
  <si>
    <t>Somme de DEFISC  2706086</t>
  </si>
  <si>
    <t>Somme de DEFISC  600000</t>
  </si>
  <si>
    <t>Somme de DEFISC  1462622</t>
  </si>
  <si>
    <t>Somme de DEFISC  1110</t>
  </si>
  <si>
    <t>Somme de DEFISC  3186090</t>
  </si>
  <si>
    <t>Somme de DEFISC  1473759,38</t>
  </si>
  <si>
    <t>Somme de DEFISC  2895140,53</t>
  </si>
  <si>
    <t>Somme de DEFISC  663000</t>
  </si>
  <si>
    <t>Somme de DEFISC  1480537</t>
  </si>
  <si>
    <t>Somme de DEFISC  3248644,89</t>
  </si>
  <si>
    <t>Somme de DEFISC  1500443,2</t>
  </si>
  <si>
    <t>Somme de DEFISC  2765236,62</t>
  </si>
  <si>
    <t>Somme de DEFISC  800000</t>
  </si>
  <si>
    <t>Somme de DEFISC  1552800,91</t>
  </si>
  <si>
    <t>Somme de DEFISC  3023907</t>
  </si>
  <si>
    <t>Somme de DEFISC  680000</t>
  </si>
  <si>
    <t>Somme de DEFISC  1600171,58</t>
  </si>
  <si>
    <t>Somme de DEFISC  25000</t>
  </si>
  <si>
    <t>Somme de DEFISC  2760459</t>
  </si>
  <si>
    <t>Somme de DEFISC  945000</t>
  </si>
  <si>
    <t>Somme de DEFISC  1629529</t>
  </si>
  <si>
    <t>Somme de DEFISC  12414</t>
  </si>
  <si>
    <t>Somme de DEFISC  3296474,06</t>
  </si>
  <si>
    <t>Somme de DEFISC  280000</t>
  </si>
  <si>
    <t>Somme de DEFISC  1638956,14</t>
  </si>
  <si>
    <t>Somme de DEFISC  1310249</t>
  </si>
  <si>
    <t>Somme de DEFISC  3189669</t>
  </si>
  <si>
    <t>Somme de DEFISC  1736993</t>
  </si>
  <si>
    <t>Somme de DEFISC  3678947</t>
  </si>
  <si>
    <t>Somme de DEFISC  880000</t>
  </si>
  <si>
    <t>Somme de DEFISC  1905132</t>
  </si>
  <si>
    <t>Somme de DEFISC  3571759,95</t>
  </si>
  <si>
    <t>Somme de DEFISC  1916369</t>
  </si>
  <si>
    <t>Somme de DEFISC  3865450</t>
  </si>
  <si>
    <t>Somme de DEFISC  1100000</t>
  </si>
  <si>
    <t>Somme de DEFISC  1928374</t>
  </si>
  <si>
    <t>Somme de DEFISC  4540907,43</t>
  </si>
  <si>
    <t>Somme de DEFISC  1118000</t>
  </si>
  <si>
    <t>Somme de DEFISC  2234701</t>
  </si>
  <si>
    <t>Somme de DEFISC  3931799,2</t>
  </si>
  <si>
    <t>Somme de DEFISC  660000</t>
  </si>
  <si>
    <t>Somme de DEFISC  2271739</t>
  </si>
  <si>
    <t>Somme de DEFISC  15485</t>
  </si>
  <si>
    <t>Somme de DEFISC  4693223</t>
  </si>
  <si>
    <t>Somme de DEFISC  2438948</t>
  </si>
  <si>
    <t>Somme de DEFISC  4684224</t>
  </si>
  <si>
    <t>Somme de DEFISC  2453735</t>
  </si>
  <si>
    <t>Somme de DEFISC  5272823,875</t>
  </si>
  <si>
    <t>Somme de DEFISC  925000</t>
  </si>
  <si>
    <t>Somme de DEFISC  2572426,04</t>
  </si>
  <si>
    <t>Somme de DEFISC  112832</t>
  </si>
  <si>
    <t>Somme de DEFISC  5285874</t>
  </si>
  <si>
    <t>Somme de DEFISC  406000</t>
  </si>
  <si>
    <t>Somme de DEFISC  2642685</t>
  </si>
  <si>
    <t>Somme de DEFISC  6290107</t>
  </si>
  <si>
    <t>Somme de DEFISC  300000</t>
  </si>
  <si>
    <t>Somme de DEFISC  2932668</t>
  </si>
  <si>
    <t>Somme de DEFISC  101837</t>
  </si>
  <si>
    <t>Somme de DEFISC  5336445</t>
  </si>
  <si>
    <t>Somme de DEFISC  2943213,03736187</t>
  </si>
  <si>
    <t>Somme de DEFISC  6112292,55</t>
  </si>
  <si>
    <t>Somme de DEFISC  790394</t>
  </si>
  <si>
    <t>Somme de DEFISC  3195831</t>
  </si>
  <si>
    <t>Somme de DEFISC  63128</t>
  </si>
  <si>
    <t>Somme de DEFISC  6429606,37</t>
  </si>
  <si>
    <t>Somme de DEFISC  3263643</t>
  </si>
  <si>
    <t>Somme de DEFISC  5918673</t>
  </si>
  <si>
    <t>Somme de DEFISC  3287400</t>
  </si>
  <si>
    <t>Somme de DEFISC  2455687,71</t>
  </si>
  <si>
    <t>Somme de DEFISC  5854059</t>
  </si>
  <si>
    <t>Somme de DEFISC  3306813</t>
  </si>
  <si>
    <t>Somme de DEFISC  57556</t>
  </si>
  <si>
    <t>Somme de DEFISC  7299442</t>
  </si>
  <si>
    <t>Somme de DEFISC  1512000</t>
  </si>
  <si>
    <t>Somme de DEFISC  3808325</t>
  </si>
  <si>
    <t>Somme de DEFISC  7538525,51</t>
  </si>
  <si>
    <t>Somme de DEFISC  995000</t>
  </si>
  <si>
    <t>Somme de DEFISC  3816022,8</t>
  </si>
  <si>
    <t>Somme de DEFISC  8282245</t>
  </si>
  <si>
    <t>Somme de DEFISC  1245000</t>
  </si>
  <si>
    <t>Somme de DEFISC  4422509</t>
  </si>
  <si>
    <t>Somme de DEFISC  21631</t>
  </si>
  <si>
    <t>Somme de DEFISC  27272,05</t>
  </si>
  <si>
    <t>Somme de DEFISC  3563771</t>
  </si>
  <si>
    <t>Somme de DEFISC  3651857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</si>
</sst>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9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#,##0\ _€"/>
    <numFmt numFmtId="166" formatCode="_-* #,##0\ _€_-;\-* #,##0\ _€_-;_-* &quot;-&quot;??\ _€_-;_-@_-"/>
    <numFmt numFmtId="167" formatCode="#,##0.00\ &quot;€&quot;"/>
    <numFmt numFmtId="168" formatCode="_(* #,##0.00_);_(* \(#,##0.00\);_(* &quot;-&quot;??_);_(@_)"/>
    <numFmt numFmtId="169" formatCode="[$-40C]mmmm\-yy;@"/>
    <numFmt numFmtId="170" formatCode="[$-40C]mmm\-yy;@"/>
    <numFmt numFmtId="171" formatCode="&quot;NH PROG&quot;\ 0%"/>
    <numFmt numFmtId="172" formatCode="&quot;NH APS&quot;\ 0%"/>
    <numFmt numFmtId="173" formatCode="&quot;NH PC&quot;\ 0%"/>
    <numFmt numFmtId="174" formatCode="&quot;NH APD&quot;\ 0%"/>
    <numFmt numFmtId="175" formatCode="&quot;NH PRO&quot;\ 0%"/>
    <numFmt numFmtId="176" formatCode="0.0"/>
    <numFmt numFmtId="177" formatCode="&quot;NH VEFA&quot;\ 0%"/>
    <numFmt numFmtId="178" formatCode="&quot;NH OS&quot;\ 0%"/>
    <numFmt numFmtId="179" formatCode="&quot;NH Fondations&quot;\ 0%"/>
    <numFmt numFmtId="180" formatCode="&quot;NH R+1&quot;\ 0%"/>
    <numFmt numFmtId="181" formatCode="&quot;NH HDE&quot;\ 0%"/>
    <numFmt numFmtId="192" formatCode="&quot;NH HDA&quot;\ 0%"/>
    <numFmt numFmtId="193" formatCode="#,##0.00\ _€"/>
    <numFmt numFmtId="194" formatCode="&quot;NH Cloisons&quot;\ 0%"/>
    <numFmt numFmtId="195" formatCode="&quot;NH ESQ&quot;\ 0%"/>
    <numFmt numFmtId="196" formatCode="&quot;NH CAO&quot;\ 0%"/>
    <numFmt numFmtId="197" formatCode="&quot;NH DAT&quot;\ 0%"/>
    <numFmt numFmtId="198" formatCode="&quot;NH RDC&quot;\ 0%"/>
    <numFmt numFmtId="199" formatCode="&quot;NH bilan&quot;\ 0%"/>
  </numFmts>
  <fonts count="3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rgb="FF0070C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0"/>
      <name val="Arial"/>
      <family val="2"/>
    </font>
    <font>
      <i/>
      <sz val="11"/>
      <color rgb="FFFF0000"/>
      <name val="Calibri"/>
      <family val="2"/>
      <scheme val="minor"/>
    </font>
    <font>
      <b/>
      <sz val="11"/>
      <color indexed="12"/>
      <name val="Calibri"/>
      <family val="2"/>
      <scheme val="minor"/>
    </font>
    <font>
      <sz val="11"/>
      <color rgb="FFFF5050"/>
      <name val="Calibri"/>
      <family val="2"/>
      <scheme val="minor"/>
    </font>
    <font>
      <sz val="11"/>
      <color rgb="FF7030A0"/>
      <name val="Calibri"/>
      <family val="2"/>
      <scheme val="minor"/>
    </font>
    <font>
      <sz val="12"/>
      <name val="Arial"/>
      <family val="2"/>
    </font>
    <font>
      <i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4"/>
      <color theme="0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sz val="10"/>
      <color rgb="FF000000"/>
      <name val="Arial2"/>
    </font>
    <font>
      <sz val="10"/>
      <color rgb="FF000000"/>
      <name val="Arial1"/>
    </font>
    <font>
      <b/>
      <sz val="11"/>
      <color rgb="FF00B0F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indexed="9"/>
      <name val="Verdana"/>
      <family val="2"/>
    </font>
    <font>
      <b/>
      <i/>
      <sz val="12"/>
      <color indexed="9"/>
      <name val="Verdana"/>
      <family val="2"/>
    </font>
    <font>
      <sz val="8"/>
      <name val="Verdana"/>
      <family val="2"/>
    </font>
    <font>
      <sz val="8"/>
      <color rgb="FFFF0000"/>
      <name val="Verdana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i/>
      <sz val="12"/>
      <color indexed="9"/>
      <name val="Verdana"/>
      <family val="2"/>
    </font>
    <font>
      <sz val="12"/>
      <color indexed="9"/>
      <name val="Verdana"/>
      <family val="2"/>
    </font>
  </fonts>
  <fills count="5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gray0625">
        <bgColor theme="0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8E61D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lightGray">
        <bgColor theme="6" tint="0.39994506668294322"/>
      </patternFill>
    </fill>
    <fill>
      <patternFill patternType="lightGray">
        <bgColor rgb="FFC6EFCE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0099FF"/>
        <bgColor indexed="64"/>
      </patternFill>
    </fill>
    <fill>
      <patternFill patternType="gray125">
        <bgColor theme="5" tint="0.39997558519241921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gray125">
        <bgColor theme="1" tint="0.34998626667073579"/>
      </patternFill>
    </fill>
    <fill>
      <patternFill patternType="solid">
        <fgColor rgb="FF7030A0"/>
        <bgColor indexed="64"/>
      </patternFill>
    </fill>
    <fill>
      <patternFill patternType="gray0625">
        <bgColor rgb="FF00B0F0"/>
      </patternFill>
    </fill>
    <fill>
      <patternFill patternType="gray0625">
        <bgColor theme="1" tint="0.499984740745262"/>
      </patternFill>
    </fill>
    <fill>
      <patternFill patternType="solid">
        <fgColor theme="5" tint="0.79998168889431442"/>
        <bgColor indexed="64"/>
      </patternFill>
    </fill>
    <fill>
      <patternFill patternType="gray0625">
        <bgColor theme="6" tint="0.79998168889431442"/>
      </patternFill>
    </fill>
    <fill>
      <patternFill patternType="gray0625">
        <bgColor theme="4" tint="0.79998168889431442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rgb="FFFF0000"/>
      </left>
      <right/>
      <top style="thin">
        <color indexed="64"/>
      </top>
      <bottom style="thin">
        <color indexed="64"/>
      </bottom>
      <diagonal/>
    </border>
    <border>
      <left/>
      <right style="medium">
        <color rgb="FFFF0000"/>
      </right>
      <top style="thin">
        <color indexed="64"/>
      </top>
      <bottom style="thin">
        <color indexed="64"/>
      </bottom>
      <diagonal/>
    </border>
  </borders>
  <cellStyleXfs count="19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0" applyNumberFormat="0" applyBorder="0" applyAlignment="0" applyProtection="0"/>
    <xf numFmtId="0" fontId="1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12" fillId="0" borderId="0"/>
    <xf numFmtId="0" fontId="16" fillId="0" borderId="0"/>
    <xf numFmtId="168" fontId="12" fillId="0" borderId="0" applyFont="0" applyFill="0" applyBorder="0" applyAlignment="0" applyProtection="0"/>
    <xf numFmtId="0" fontId="12" fillId="0" borderId="0"/>
    <xf numFmtId="0" fontId="12" fillId="0" borderId="0">
      <alignment vertical="center"/>
    </xf>
    <xf numFmtId="0" fontId="25" fillId="0" borderId="0"/>
    <xf numFmtId="9" fontId="26" fillId="0" borderId="0" applyFont="0" applyFill="0" applyBorder="0" applyAlignment="0" applyProtection="0"/>
    <xf numFmtId="0" fontId="27" fillId="0" borderId="0" applyNumberFormat="0" applyBorder="0" applyProtection="0"/>
    <xf numFmtId="0" fontId="28" fillId="0" borderId="0" applyNumberFormat="0" applyBorder="0" applyProtection="0"/>
    <xf numFmtId="0" fontId="28" fillId="0" borderId="0" applyNumberFormat="0" applyBorder="0" applyProtection="0"/>
  </cellStyleXfs>
  <cellXfs count="767">
    <xf numFmtId="0" fontId="0" fillId="0" borderId="0" xfId="0"/>
    <xf numFmtId="0" fontId="5" fillId="4" borderId="1" xfId="5" applyFont="1" applyBorder="1" applyAlignment="1">
      <alignment horizontal="center" vertical="center" wrapText="1"/>
    </xf>
    <xf numFmtId="0" fontId="8" fillId="8" borderId="0" xfId="5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ont="1" applyAlignment="1">
      <alignment horizontal="center"/>
    </xf>
    <xf numFmtId="0" fontId="6" fillId="8" borderId="1" xfId="0" applyFont="1" applyFill="1" applyBorder="1" applyAlignment="1">
      <alignment horizontal="center" vertical="center"/>
    </xf>
    <xf numFmtId="0" fontId="0" fillId="8" borderId="1" xfId="0" applyFont="1" applyFill="1" applyBorder="1" applyAlignment="1">
      <alignment horizontal="center" vertical="center"/>
    </xf>
    <xf numFmtId="0" fontId="0" fillId="14" borderId="1" xfId="0" applyFont="1" applyFill="1" applyBorder="1" applyAlignment="1">
      <alignment horizontal="center" vertical="center"/>
    </xf>
    <xf numFmtId="4" fontId="0" fillId="8" borderId="1" xfId="0" applyNumberFormat="1" applyFont="1" applyFill="1" applyBorder="1" applyAlignment="1">
      <alignment horizontal="center" vertical="center"/>
    </xf>
    <xf numFmtId="165" fontId="0" fillId="10" borderId="1" xfId="0" applyNumberFormat="1" applyFont="1" applyFill="1" applyBorder="1" applyAlignment="1">
      <alignment horizontal="center" vertical="center"/>
    </xf>
    <xf numFmtId="165" fontId="0" fillId="11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165" fontId="0" fillId="12" borderId="1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43" fontId="8" fillId="11" borderId="1" xfId="1" applyFont="1" applyFill="1" applyBorder="1" applyAlignment="1">
      <alignment horizontal="center" vertical="center" wrapText="1"/>
    </xf>
    <xf numFmtId="0" fontId="5" fillId="8" borderId="0" xfId="0" applyFont="1" applyFill="1" applyAlignment="1">
      <alignment horizontal="center" vertical="center" wrapText="1"/>
    </xf>
    <xf numFmtId="0" fontId="5" fillId="8" borderId="1" xfId="0" applyFont="1" applyFill="1" applyBorder="1" applyAlignment="1">
      <alignment horizontal="center"/>
    </xf>
    <xf numFmtId="0" fontId="0" fillId="0" borderId="0" xfId="0" applyNumberFormat="1"/>
    <xf numFmtId="0" fontId="0" fillId="0" borderId="0" xfId="0" applyAlignment="1">
      <alignment horizontal="left" indent="1"/>
    </xf>
    <xf numFmtId="0" fontId="8" fillId="8" borderId="1" xfId="0" applyFont="1" applyFill="1" applyBorder="1" applyAlignment="1">
      <alignment horizontal="center" vertical="center"/>
    </xf>
    <xf numFmtId="165" fontId="8" fillId="8" borderId="1" xfId="0" applyNumberFormat="1" applyFont="1" applyFill="1" applyBorder="1" applyAlignment="1">
      <alignment horizontal="center" vertical="center"/>
    </xf>
    <xf numFmtId="165" fontId="8" fillId="10" borderId="1" xfId="0" applyNumberFormat="1" applyFont="1" applyFill="1" applyBorder="1" applyAlignment="1">
      <alignment horizontal="center" vertical="center"/>
    </xf>
    <xf numFmtId="165" fontId="0" fillId="19" borderId="1" xfId="0" applyNumberFormat="1" applyFont="1" applyFill="1" applyBorder="1" applyAlignment="1">
      <alignment horizontal="center" vertical="center"/>
    </xf>
    <xf numFmtId="165" fontId="0" fillId="8" borderId="1" xfId="0" applyNumberFormat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3" fontId="6" fillId="0" borderId="2" xfId="0" applyNumberFormat="1" applyFont="1" applyBorder="1" applyAlignment="1">
      <alignment horizontal="center" vertical="center"/>
    </xf>
    <xf numFmtId="3" fontId="6" fillId="0" borderId="3" xfId="0" applyNumberFormat="1" applyFont="1" applyBorder="1" applyAlignment="1">
      <alignment horizontal="center" vertical="center"/>
    </xf>
    <xf numFmtId="3" fontId="6" fillId="0" borderId="4" xfId="0" applyNumberFormat="1" applyFont="1" applyBorder="1" applyAlignment="1">
      <alignment horizontal="center" vertical="center"/>
    </xf>
    <xf numFmtId="3" fontId="6" fillId="0" borderId="0" xfId="0" applyNumberFormat="1" applyFont="1" applyBorder="1" applyAlignment="1">
      <alignment horizontal="center" vertical="center"/>
    </xf>
    <xf numFmtId="9" fontId="0" fillId="0" borderId="0" xfId="2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5" fontId="6" fillId="0" borderId="0" xfId="0" applyNumberFormat="1" applyFont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22" borderId="1" xfId="5" applyFont="1" applyFill="1" applyBorder="1" applyAlignment="1">
      <alignment horizontal="center" vertical="center"/>
    </xf>
    <xf numFmtId="0" fontId="8" fillId="17" borderId="1" xfId="7" applyFont="1" applyFill="1" applyBorder="1" applyAlignment="1">
      <alignment horizontal="center" vertical="center" wrapText="1"/>
    </xf>
    <xf numFmtId="165" fontId="0" fillId="24" borderId="1" xfId="0" applyNumberFormat="1" applyFont="1" applyFill="1" applyBorder="1" applyAlignment="1">
      <alignment horizontal="center" vertical="center"/>
    </xf>
    <xf numFmtId="165" fontId="8" fillId="24" borderId="1" xfId="0" applyNumberFormat="1" applyFont="1" applyFill="1" applyBorder="1" applyAlignment="1">
      <alignment horizontal="center" vertical="center"/>
    </xf>
    <xf numFmtId="165" fontId="0" fillId="23" borderId="1" xfId="0" applyNumberFormat="1" applyFont="1" applyFill="1" applyBorder="1" applyAlignment="1">
      <alignment horizontal="center" vertical="center"/>
    </xf>
    <xf numFmtId="9" fontId="8" fillId="11" borderId="1" xfId="2" applyFont="1" applyFill="1" applyBorder="1" applyAlignment="1">
      <alignment horizontal="center" vertical="center" wrapText="1"/>
    </xf>
    <xf numFmtId="43" fontId="8" fillId="25" borderId="1" xfId="1" applyFont="1" applyFill="1" applyBorder="1" applyAlignment="1">
      <alignment horizontal="center" vertical="center" wrapText="1"/>
    </xf>
    <xf numFmtId="164" fontId="8" fillId="17" borderId="1" xfId="6" applyNumberFormat="1" applyFont="1" applyFill="1" applyBorder="1" applyAlignment="1">
      <alignment horizontal="center" vertical="center"/>
    </xf>
    <xf numFmtId="10" fontId="0" fillId="0" borderId="0" xfId="2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6" fillId="0" borderId="0" xfId="0" applyFont="1"/>
    <xf numFmtId="9" fontId="0" fillId="0" borderId="0" xfId="2" applyFont="1" applyAlignment="1">
      <alignment horizontal="center"/>
    </xf>
    <xf numFmtId="165" fontId="8" fillId="0" borderId="1" xfId="0" applyNumberFormat="1" applyFont="1" applyBorder="1" applyAlignment="1">
      <alignment horizontal="center" vertical="center"/>
    </xf>
    <xf numFmtId="165" fontId="8" fillId="19" borderId="1" xfId="0" applyNumberFormat="1" applyFont="1" applyFill="1" applyBorder="1" applyAlignment="1">
      <alignment horizontal="center" vertical="center"/>
    </xf>
    <xf numFmtId="4" fontId="0" fillId="27" borderId="7" xfId="0" applyNumberFormat="1" applyFont="1" applyFill="1" applyBorder="1" applyAlignment="1">
      <alignment horizontal="center" vertical="center"/>
    </xf>
    <xf numFmtId="4" fontId="8" fillId="27" borderId="7" xfId="0" applyNumberFormat="1" applyFont="1" applyFill="1" applyBorder="1" applyAlignment="1">
      <alignment horizontal="center" vertical="center"/>
    </xf>
    <xf numFmtId="165" fontId="0" fillId="19" borderId="8" xfId="0" applyNumberFormat="1" applyFont="1" applyFill="1" applyBorder="1" applyAlignment="1">
      <alignment horizontal="center" vertical="center"/>
    </xf>
    <xf numFmtId="9" fontId="0" fillId="19" borderId="8" xfId="2" applyFont="1" applyFill="1" applyBorder="1" applyAlignment="1">
      <alignment horizontal="center" vertical="center"/>
    </xf>
    <xf numFmtId="3" fontId="0" fillId="0" borderId="2" xfId="0" applyNumberFormat="1" applyFont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8" fillId="8" borderId="8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 wrapText="1"/>
    </xf>
    <xf numFmtId="0" fontId="8" fillId="8" borderId="8" xfId="0" applyFont="1" applyFill="1" applyBorder="1" applyAlignment="1">
      <alignment horizontal="center" vertical="center" wrapText="1"/>
    </xf>
    <xf numFmtId="4" fontId="0" fillId="8" borderId="8" xfId="0" applyNumberFormat="1" applyFont="1" applyFill="1" applyBorder="1" applyAlignment="1">
      <alignment horizontal="center" vertical="center"/>
    </xf>
    <xf numFmtId="4" fontId="8" fillId="8" borderId="8" xfId="0" applyNumberFormat="1" applyFont="1" applyFill="1" applyBorder="1" applyAlignment="1">
      <alignment horizontal="center" vertical="center"/>
    </xf>
    <xf numFmtId="3" fontId="0" fillId="8" borderId="8" xfId="0" applyNumberFormat="1" applyFont="1" applyFill="1" applyBorder="1" applyAlignment="1">
      <alignment horizontal="center" vertical="center"/>
    </xf>
    <xf numFmtId="3" fontId="8" fillId="8" borderId="8" xfId="0" applyNumberFormat="1" applyFont="1" applyFill="1" applyBorder="1" applyAlignment="1">
      <alignment horizontal="center" vertical="center"/>
    </xf>
    <xf numFmtId="3" fontId="0" fillId="8" borderId="8" xfId="0" applyNumberFormat="1" applyFont="1" applyFill="1" applyBorder="1" applyAlignment="1">
      <alignment horizontal="center" wrapText="1"/>
    </xf>
    <xf numFmtId="0" fontId="0" fillId="8" borderId="0" xfId="0" applyFont="1" applyFill="1" applyAlignment="1">
      <alignment horizontal="center" vertical="center"/>
    </xf>
    <xf numFmtId="49" fontId="0" fillId="8" borderId="8" xfId="0" applyNumberFormat="1" applyFont="1" applyFill="1" applyBorder="1" applyAlignment="1">
      <alignment horizontal="center" vertical="center"/>
    </xf>
    <xf numFmtId="0" fontId="0" fillId="14" borderId="8" xfId="0" applyFont="1" applyFill="1" applyBorder="1" applyAlignment="1">
      <alignment horizontal="center" vertical="center"/>
    </xf>
    <xf numFmtId="3" fontId="0" fillId="14" borderId="8" xfId="0" applyNumberFormat="1" applyFont="1" applyFill="1" applyBorder="1" applyAlignment="1">
      <alignment horizontal="center" vertical="center"/>
    </xf>
    <xf numFmtId="43" fontId="8" fillId="11" borderId="8" xfId="1" applyFont="1" applyFill="1" applyBorder="1" applyAlignment="1">
      <alignment horizontal="center" vertical="center" wrapText="1"/>
    </xf>
    <xf numFmtId="165" fontId="0" fillId="11" borderId="8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3" fontId="15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 wrapText="1"/>
    </xf>
    <xf numFmtId="165" fontId="7" fillId="11" borderId="8" xfId="0" applyNumberFormat="1" applyFont="1" applyFill="1" applyBorder="1" applyAlignment="1">
      <alignment horizontal="center" vertical="center"/>
    </xf>
    <xf numFmtId="165" fontId="8" fillId="11" borderId="8" xfId="0" applyNumberFormat="1" applyFont="1" applyFill="1" applyBorder="1" applyAlignment="1">
      <alignment horizontal="center" vertical="center"/>
    </xf>
    <xf numFmtId="0" fontId="5" fillId="28" borderId="0" xfId="0" applyFont="1" applyFill="1" applyAlignment="1">
      <alignment horizontal="center" vertical="center" wrapText="1"/>
    </xf>
    <xf numFmtId="3" fontId="5" fillId="28" borderId="0" xfId="0" applyNumberFormat="1" applyFont="1" applyFill="1" applyAlignment="1">
      <alignment horizontal="center" vertical="center"/>
    </xf>
    <xf numFmtId="165" fontId="14" fillId="0" borderId="0" xfId="0" applyNumberFormat="1" applyFont="1" applyAlignment="1">
      <alignment horizontal="center" vertical="center"/>
    </xf>
    <xf numFmtId="41" fontId="0" fillId="8" borderId="8" xfId="0" applyNumberFormat="1" applyFont="1" applyFill="1" applyBorder="1" applyAlignment="1">
      <alignment horizontal="center" vertical="center"/>
    </xf>
    <xf numFmtId="41" fontId="8" fillId="8" borderId="8" xfId="0" applyNumberFormat="1" applyFont="1" applyFill="1" applyBorder="1" applyAlignment="1">
      <alignment horizontal="center" vertical="center"/>
    </xf>
    <xf numFmtId="9" fontId="0" fillId="8" borderId="8" xfId="2" applyFont="1" applyFill="1" applyBorder="1" applyAlignment="1">
      <alignment horizontal="center" vertical="center"/>
    </xf>
    <xf numFmtId="9" fontId="8" fillId="8" borderId="8" xfId="2" applyFont="1" applyFill="1" applyBorder="1" applyAlignment="1">
      <alignment horizontal="center" vertical="center"/>
    </xf>
    <xf numFmtId="9" fontId="0" fillId="8" borderId="0" xfId="2" applyFont="1" applyFill="1" applyBorder="1" applyAlignment="1">
      <alignment horizontal="center"/>
    </xf>
    <xf numFmtId="165" fontId="8" fillId="19" borderId="8" xfId="0" applyNumberFormat="1" applyFont="1" applyFill="1" applyBorder="1" applyAlignment="1">
      <alignment horizontal="center" vertical="center"/>
    </xf>
    <xf numFmtId="4" fontId="0" fillId="25" borderId="1" xfId="0" applyNumberFormat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 wrapText="1"/>
    </xf>
    <xf numFmtId="4" fontId="0" fillId="0" borderId="2" xfId="0" applyNumberFormat="1" applyFont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/>
    </xf>
    <xf numFmtId="165" fontId="0" fillId="12" borderId="8" xfId="0" applyNumberFormat="1" applyFont="1" applyFill="1" applyBorder="1" applyAlignment="1">
      <alignment horizontal="center" vertical="center"/>
    </xf>
    <xf numFmtId="9" fontId="8" fillId="11" borderId="8" xfId="2" applyFont="1" applyFill="1" applyBorder="1" applyAlignment="1">
      <alignment horizontal="center" vertical="center" wrapText="1"/>
    </xf>
    <xf numFmtId="165" fontId="0" fillId="8" borderId="8" xfId="0" applyNumberFormat="1" applyFont="1" applyFill="1" applyBorder="1" applyAlignment="1">
      <alignment horizontal="center" vertical="center"/>
    </xf>
    <xf numFmtId="4" fontId="8" fillId="27" borderId="8" xfId="0" applyNumberFormat="1" applyFont="1" applyFill="1" applyBorder="1" applyAlignment="1">
      <alignment horizontal="center" vertical="center"/>
    </xf>
    <xf numFmtId="165" fontId="0" fillId="23" borderId="8" xfId="0" applyNumberFormat="1" applyFont="1" applyFill="1" applyBorder="1" applyAlignment="1">
      <alignment horizontal="center" vertical="center"/>
    </xf>
    <xf numFmtId="4" fontId="9" fillId="25" borderId="8" xfId="0" applyNumberFormat="1" applyFont="1" applyFill="1" applyBorder="1" applyAlignment="1">
      <alignment horizontal="center" vertical="center"/>
    </xf>
    <xf numFmtId="165" fontId="0" fillId="10" borderId="8" xfId="0" applyNumberFormat="1" applyFont="1" applyFill="1" applyBorder="1" applyAlignment="1">
      <alignment horizontal="center" vertical="center"/>
    </xf>
    <xf numFmtId="165" fontId="0" fillId="0" borderId="8" xfId="0" applyNumberFormat="1" applyFont="1" applyBorder="1" applyAlignment="1">
      <alignment horizontal="center" vertical="center"/>
    </xf>
    <xf numFmtId="165" fontId="0" fillId="24" borderId="8" xfId="0" applyNumberFormat="1" applyFont="1" applyFill="1" applyBorder="1" applyAlignment="1">
      <alignment horizontal="center" vertical="center"/>
    </xf>
    <xf numFmtId="43" fontId="8" fillId="25" borderId="8" xfId="1" applyFont="1" applyFill="1" applyBorder="1" applyAlignment="1">
      <alignment horizontal="center" vertical="center" wrapText="1"/>
    </xf>
    <xf numFmtId="0" fontId="8" fillId="22" borderId="8" xfId="5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 wrapText="1"/>
    </xf>
    <xf numFmtId="14" fontId="8" fillId="22" borderId="8" xfId="5" applyNumberFormat="1" applyFont="1" applyFill="1" applyBorder="1" applyAlignment="1">
      <alignment horizontal="center" vertical="center"/>
    </xf>
    <xf numFmtId="164" fontId="8" fillId="17" borderId="8" xfId="7" applyNumberFormat="1" applyFont="1" applyFill="1" applyBorder="1" applyAlignment="1">
      <alignment horizontal="center" vertical="center"/>
    </xf>
    <xf numFmtId="164" fontId="8" fillId="17" borderId="8" xfId="6" applyNumberFormat="1" applyFont="1" applyFill="1" applyBorder="1" applyAlignment="1">
      <alignment horizontal="center" vertical="center"/>
    </xf>
    <xf numFmtId="0" fontId="5" fillId="17" borderId="8" xfId="7" applyFont="1" applyFill="1" applyBorder="1" applyAlignment="1">
      <alignment horizontal="center" vertical="center" wrapText="1"/>
    </xf>
    <xf numFmtId="0" fontId="8" fillId="17" borderId="8" xfId="6" applyFont="1" applyFill="1" applyBorder="1" applyAlignment="1">
      <alignment horizontal="center" vertical="center" wrapText="1"/>
    </xf>
    <xf numFmtId="164" fontId="8" fillId="17" borderId="8" xfId="6" applyNumberFormat="1" applyFont="1" applyFill="1" applyBorder="1" applyAlignment="1">
      <alignment horizontal="center" vertical="center" wrapText="1"/>
    </xf>
    <xf numFmtId="9" fontId="0" fillId="0" borderId="0" xfId="2" applyFont="1" applyBorder="1" applyAlignment="1">
      <alignment horizontal="center"/>
    </xf>
    <xf numFmtId="0" fontId="8" fillId="9" borderId="1" xfId="8" applyFont="1" applyFill="1" applyBorder="1" applyAlignment="1">
      <alignment horizontal="center" vertical="center"/>
    </xf>
    <xf numFmtId="164" fontId="8" fillId="9" borderId="1" xfId="8" applyNumberFormat="1" applyFont="1" applyFill="1" applyBorder="1" applyAlignment="1">
      <alignment horizontal="center" vertical="center"/>
    </xf>
    <xf numFmtId="41" fontId="0" fillId="8" borderId="1" xfId="0" applyNumberFormat="1" applyFont="1" applyFill="1" applyBorder="1" applyAlignment="1">
      <alignment horizontal="center" vertical="center"/>
    </xf>
    <xf numFmtId="9" fontId="0" fillId="14" borderId="8" xfId="2" applyFont="1" applyFill="1" applyBorder="1" applyAlignment="1">
      <alignment horizontal="center" vertical="center"/>
    </xf>
    <xf numFmtId="0" fontId="8" fillId="21" borderId="1" xfId="4" applyFont="1" applyFill="1" applyBorder="1" applyAlignment="1">
      <alignment horizontal="center" vertical="center"/>
    </xf>
    <xf numFmtId="0" fontId="8" fillId="17" borderId="1" xfId="3" applyFont="1" applyFill="1" applyBorder="1" applyAlignment="1">
      <alignment horizontal="center" vertical="center"/>
    </xf>
    <xf numFmtId="0" fontId="8" fillId="21" borderId="8" xfId="4" applyFont="1" applyFill="1" applyBorder="1" applyAlignment="1">
      <alignment horizontal="center" vertical="center"/>
    </xf>
    <xf numFmtId="0" fontId="8" fillId="17" borderId="8" xfId="7" applyFont="1" applyFill="1" applyBorder="1" applyAlignment="1">
      <alignment horizontal="center" vertical="center" wrapText="1"/>
    </xf>
    <xf numFmtId="0" fontId="5" fillId="17" borderId="8" xfId="6" applyFont="1" applyFill="1" applyBorder="1" applyAlignment="1">
      <alignment horizontal="center" vertical="center" wrapText="1"/>
    </xf>
    <xf numFmtId="0" fontId="8" fillId="17" borderId="8" xfId="3" applyFont="1" applyFill="1" applyBorder="1" applyAlignment="1">
      <alignment horizontal="center" vertical="center"/>
    </xf>
    <xf numFmtId="14" fontId="0" fillId="32" borderId="8" xfId="0" applyNumberFormat="1" applyFont="1" applyFill="1" applyBorder="1" applyAlignment="1">
      <alignment horizontal="center" vertical="center"/>
    </xf>
    <xf numFmtId="0" fontId="0" fillId="32" borderId="8" xfId="0" applyFont="1" applyFill="1" applyBorder="1" applyAlignment="1">
      <alignment horizontal="center" vertical="center"/>
    </xf>
    <xf numFmtId="164" fontId="8" fillId="32" borderId="8" xfId="1" applyNumberFormat="1" applyFont="1" applyFill="1" applyBorder="1" applyAlignment="1">
      <alignment horizontal="center" vertical="center"/>
    </xf>
    <xf numFmtId="1" fontId="8" fillId="32" borderId="8" xfId="1" applyNumberFormat="1" applyFont="1" applyFill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164" fontId="8" fillId="0" borderId="8" xfId="0" applyNumberFormat="1" applyFont="1" applyBorder="1" applyAlignment="1">
      <alignment horizontal="center" vertical="center" wrapText="1"/>
    </xf>
    <xf numFmtId="164" fontId="8" fillId="0" borderId="8" xfId="0" applyNumberFormat="1" applyFont="1" applyBorder="1" applyAlignment="1">
      <alignment horizontal="center" vertical="center"/>
    </xf>
    <xf numFmtId="170" fontId="9" fillId="0" borderId="8" xfId="0" applyNumberFormat="1" applyFont="1" applyBorder="1" applyAlignment="1">
      <alignment horizontal="center" vertical="center"/>
    </xf>
    <xf numFmtId="164" fontId="0" fillId="8" borderId="8" xfId="0" applyNumberFormat="1" applyFont="1" applyFill="1" applyBorder="1" applyAlignment="1">
      <alignment horizontal="center" vertical="center"/>
    </xf>
    <xf numFmtId="164" fontId="0" fillId="32" borderId="8" xfId="0" applyNumberFormat="1" applyFont="1" applyFill="1" applyBorder="1" applyAlignment="1">
      <alignment horizontal="center" vertical="center"/>
    </xf>
    <xf numFmtId="164" fontId="8" fillId="8" borderId="8" xfId="0" applyNumberFormat="1" applyFont="1" applyFill="1" applyBorder="1" applyAlignment="1">
      <alignment horizontal="center" vertical="center"/>
    </xf>
    <xf numFmtId="1" fontId="8" fillId="8" borderId="8" xfId="1" applyNumberFormat="1" applyFont="1" applyFill="1" applyBorder="1" applyAlignment="1">
      <alignment horizontal="center" vertical="center"/>
    </xf>
    <xf numFmtId="14" fontId="9" fillId="8" borderId="8" xfId="1" applyNumberFormat="1" applyFont="1" applyFill="1" applyBorder="1" applyAlignment="1">
      <alignment horizontal="center" vertical="center"/>
    </xf>
    <xf numFmtId="1" fontId="9" fillId="8" borderId="8" xfId="1" applyNumberFormat="1" applyFont="1" applyFill="1" applyBorder="1" applyAlignment="1">
      <alignment horizontal="center" vertical="center"/>
    </xf>
    <xf numFmtId="170" fontId="8" fillId="0" borderId="8" xfId="0" applyNumberFormat="1" applyFont="1" applyBorder="1" applyAlignment="1">
      <alignment horizontal="center" vertical="center" wrapText="1"/>
    </xf>
    <xf numFmtId="14" fontId="9" fillId="0" borderId="8" xfId="1" applyNumberFormat="1" applyFont="1" applyFill="1" applyBorder="1" applyAlignment="1">
      <alignment horizontal="center" vertical="center"/>
    </xf>
    <xf numFmtId="1" fontId="0" fillId="32" borderId="8" xfId="0" applyNumberFormat="1" applyFont="1" applyFill="1" applyBorder="1" applyAlignment="1">
      <alignment horizontal="center" vertical="center"/>
    </xf>
    <xf numFmtId="164" fontId="0" fillId="32" borderId="8" xfId="1" applyNumberFormat="1" applyFont="1" applyFill="1" applyBorder="1" applyAlignment="1">
      <alignment horizontal="center" vertical="center"/>
    </xf>
    <xf numFmtId="9" fontId="0" fillId="11" borderId="1" xfId="2" applyFont="1" applyFill="1" applyBorder="1" applyAlignment="1">
      <alignment horizontal="center" vertical="center"/>
    </xf>
    <xf numFmtId="9" fontId="0" fillId="11" borderId="8" xfId="2" applyFont="1" applyFill="1" applyBorder="1" applyAlignment="1">
      <alignment horizontal="center" vertical="center"/>
    </xf>
    <xf numFmtId="10" fontId="0" fillId="29" borderId="8" xfId="2" applyNumberFormat="1" applyFont="1" applyFill="1" applyBorder="1" applyAlignment="1">
      <alignment horizontal="center" vertical="center"/>
    </xf>
    <xf numFmtId="0" fontId="0" fillId="0" borderId="0" xfId="0" applyFont="1"/>
    <xf numFmtId="0" fontId="0" fillId="8" borderId="0" xfId="0" applyFont="1" applyFill="1" applyBorder="1" applyAlignment="1">
      <alignment horizontal="center"/>
    </xf>
    <xf numFmtId="0" fontId="0" fillId="8" borderId="0" xfId="0" applyFont="1" applyFill="1" applyBorder="1" applyAlignment="1">
      <alignment horizontal="center" vertical="center"/>
    </xf>
    <xf numFmtId="41" fontId="0" fillId="8" borderId="0" xfId="0" applyNumberFormat="1" applyFont="1" applyFill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165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41" fontId="0" fillId="0" borderId="0" xfId="0" applyNumberFormat="1" applyFont="1" applyBorder="1" applyAlignment="1">
      <alignment horizontal="center"/>
    </xf>
    <xf numFmtId="0" fontId="0" fillId="24" borderId="0" xfId="0" applyFont="1" applyFill="1" applyBorder="1" applyAlignment="1">
      <alignment horizontal="center"/>
    </xf>
    <xf numFmtId="9" fontId="0" fillId="0" borderId="0" xfId="0" applyNumberFormat="1" applyFont="1" applyAlignment="1">
      <alignment horizontal="center"/>
    </xf>
    <xf numFmtId="41" fontId="0" fillId="0" borderId="0" xfId="0" applyNumberFormat="1" applyFont="1" applyAlignment="1">
      <alignment horizontal="center"/>
    </xf>
    <xf numFmtId="0" fontId="5" fillId="0" borderId="0" xfId="1" applyNumberFormat="1" applyFont="1" applyAlignment="1">
      <alignment horizontal="right" vertical="center"/>
    </xf>
    <xf numFmtId="41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3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8" fillId="0" borderId="0" xfId="0" applyFont="1" applyAlignment="1">
      <alignment vertical="center"/>
    </xf>
    <xf numFmtId="0" fontId="18" fillId="13" borderId="0" xfId="0" applyFont="1" applyFill="1" applyAlignment="1">
      <alignment horizontal="center" vertical="center"/>
    </xf>
    <xf numFmtId="0" fontId="0" fillId="0" borderId="0" xfId="0" applyFont="1" applyAlignment="1">
      <alignment horizontal="left"/>
    </xf>
    <xf numFmtId="0" fontId="0" fillId="0" borderId="0" xfId="0" applyNumberFormat="1" applyFont="1"/>
    <xf numFmtId="0" fontId="0" fillId="0" borderId="0" xfId="0" applyFont="1" applyAlignment="1">
      <alignment horizontal="left" indent="1"/>
    </xf>
    <xf numFmtId="0" fontId="5" fillId="8" borderId="0" xfId="0" applyFont="1" applyFill="1" applyBorder="1" applyAlignment="1">
      <alignment horizont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5" fillId="9" borderId="1" xfId="3" applyFont="1" applyFill="1" applyBorder="1" applyAlignment="1">
      <alignment horizontal="center" vertical="center" wrapText="1"/>
    </xf>
    <xf numFmtId="43" fontId="5" fillId="17" borderId="1" xfId="3" applyNumberFormat="1" applyFont="1" applyFill="1" applyBorder="1" applyAlignment="1">
      <alignment horizontal="center" vertical="center" wrapText="1"/>
    </xf>
    <xf numFmtId="0" fontId="8" fillId="2" borderId="1" xfId="3" applyFont="1" applyBorder="1" applyAlignment="1">
      <alignment horizontal="center" vertical="center" wrapText="1"/>
    </xf>
    <xf numFmtId="43" fontId="8" fillId="2" borderId="1" xfId="3" applyNumberFormat="1" applyFont="1" applyBorder="1" applyAlignment="1">
      <alignment horizontal="center" vertical="center" wrapText="1"/>
    </xf>
    <xf numFmtId="43" fontId="8" fillId="2" borderId="8" xfId="3" applyNumberFormat="1" applyFont="1" applyBorder="1" applyAlignment="1">
      <alignment horizontal="center" vertical="center" wrapText="1"/>
    </xf>
    <xf numFmtId="0" fontId="8" fillId="2" borderId="8" xfId="3" applyFont="1" applyBorder="1" applyAlignment="1">
      <alignment horizontal="center" vertical="center" wrapText="1"/>
    </xf>
    <xf numFmtId="14" fontId="8" fillId="17" borderId="1" xfId="7" applyNumberFormat="1" applyFont="1" applyFill="1" applyBorder="1" applyAlignment="1">
      <alignment horizontal="center" vertical="center"/>
    </xf>
    <xf numFmtId="14" fontId="8" fillId="17" borderId="8" xfId="7" applyNumberFormat="1" applyFont="1" applyFill="1" applyBorder="1" applyAlignment="1">
      <alignment horizontal="center" vertical="center"/>
    </xf>
    <xf numFmtId="164" fontId="8" fillId="9" borderId="1" xfId="6" applyNumberFormat="1" applyFont="1" applyFill="1" applyBorder="1" applyAlignment="1">
      <alignment horizontal="center" vertical="center"/>
    </xf>
    <xf numFmtId="14" fontId="8" fillId="2" borderId="1" xfId="3" applyNumberFormat="1" applyFont="1" applyBorder="1" applyAlignment="1">
      <alignment horizontal="center" vertical="center" wrapText="1"/>
    </xf>
    <xf numFmtId="0" fontId="8" fillId="17" borderId="1" xfId="7" applyFont="1" applyFill="1" applyBorder="1" applyAlignment="1">
      <alignment horizontal="center" vertical="center"/>
    </xf>
    <xf numFmtId="14" fontId="8" fillId="17" borderId="8" xfId="7" applyNumberFormat="1" applyFont="1" applyFill="1" applyBorder="1" applyAlignment="1">
      <alignment horizontal="center" vertical="center" wrapText="1"/>
    </xf>
    <xf numFmtId="0" fontId="8" fillId="17" borderId="8" xfId="7" applyFont="1" applyFill="1" applyBorder="1" applyAlignment="1">
      <alignment horizontal="center" vertical="center"/>
    </xf>
    <xf numFmtId="164" fontId="8" fillId="9" borderId="8" xfId="6" applyNumberFormat="1" applyFont="1" applyFill="1" applyBorder="1" applyAlignment="1">
      <alignment horizontal="center" vertical="center"/>
    </xf>
    <xf numFmtId="0" fontId="8" fillId="9" borderId="8" xfId="8" applyFont="1" applyFill="1" applyBorder="1" applyAlignment="1">
      <alignment horizontal="center" vertical="center"/>
    </xf>
    <xf numFmtId="164" fontId="8" fillId="9" borderId="8" xfId="8" applyNumberFormat="1" applyFont="1" applyFill="1" applyBorder="1" applyAlignment="1">
      <alignment horizontal="center" vertical="center"/>
    </xf>
    <xf numFmtId="0" fontId="8" fillId="8" borderId="0" xfId="4" applyFont="1" applyFill="1" applyBorder="1" applyAlignment="1">
      <alignment horizontal="center"/>
    </xf>
    <xf numFmtId="164" fontId="8" fillId="8" borderId="0" xfId="5" applyNumberFormat="1" applyFont="1" applyFill="1" applyBorder="1" applyAlignment="1">
      <alignment horizontal="center"/>
    </xf>
    <xf numFmtId="0" fontId="8" fillId="8" borderId="0" xfId="7" applyFont="1" applyFill="1" applyBorder="1" applyAlignment="1">
      <alignment horizontal="center"/>
    </xf>
    <xf numFmtId="164" fontId="8" fillId="8" borderId="0" xfId="7" applyNumberFormat="1" applyFont="1" applyFill="1" applyBorder="1" applyAlignment="1">
      <alignment horizontal="center"/>
    </xf>
    <xf numFmtId="164" fontId="8" fillId="8" borderId="0" xfId="6" applyNumberFormat="1" applyFont="1" applyFill="1" applyBorder="1" applyAlignment="1">
      <alignment horizontal="center"/>
    </xf>
    <xf numFmtId="164" fontId="8" fillId="8" borderId="0" xfId="8" applyNumberFormat="1" applyFont="1" applyFill="1" applyBorder="1" applyAlignment="1">
      <alignment horizontal="center"/>
    </xf>
    <xf numFmtId="0" fontId="8" fillId="8" borderId="0" xfId="3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167" fontId="5" fillId="0" borderId="0" xfId="0" applyNumberFormat="1" applyFont="1" applyAlignment="1">
      <alignment horizontal="center" vertical="center"/>
    </xf>
    <xf numFmtId="164" fontId="0" fillId="32" borderId="8" xfId="0" applyNumberFormat="1" applyFont="1" applyFill="1" applyBorder="1" applyAlignment="1">
      <alignment horizontal="center" vertical="center" wrapText="1"/>
    </xf>
    <xf numFmtId="41" fontId="0" fillId="14" borderId="8" xfId="0" applyNumberFormat="1" applyFont="1" applyFill="1" applyBorder="1" applyAlignment="1">
      <alignment horizontal="center" vertical="center"/>
    </xf>
    <xf numFmtId="164" fontId="0" fillId="8" borderId="8" xfId="0" applyNumberFormat="1" applyFont="1" applyFill="1" applyBorder="1" applyAlignment="1">
      <alignment horizontal="center" vertical="center" wrapText="1"/>
    </xf>
    <xf numFmtId="14" fontId="0" fillId="8" borderId="8" xfId="0" applyNumberFormat="1" applyFont="1" applyFill="1" applyBorder="1" applyAlignment="1">
      <alignment horizontal="center" vertical="center"/>
    </xf>
    <xf numFmtId="164" fontId="8" fillId="32" borderId="8" xfId="1" applyNumberFormat="1" applyFont="1" applyFill="1" applyBorder="1" applyAlignment="1">
      <alignment horizontal="center" vertical="center" wrapText="1"/>
    </xf>
    <xf numFmtId="164" fontId="9" fillId="8" borderId="8" xfId="1" applyNumberFormat="1" applyFont="1" applyFill="1" applyBorder="1" applyAlignment="1">
      <alignment horizontal="center" vertical="center"/>
    </xf>
    <xf numFmtId="164" fontId="0" fillId="8" borderId="8" xfId="2" applyNumberFormat="1" applyFont="1" applyFill="1" applyBorder="1" applyAlignment="1">
      <alignment horizontal="center" vertical="center"/>
    </xf>
    <xf numFmtId="164" fontId="8" fillId="17" borderId="8" xfId="7" applyNumberFormat="1" applyFont="1" applyFill="1" applyBorder="1" applyAlignment="1">
      <alignment horizontal="center" vertical="center" wrapText="1"/>
    </xf>
    <xf numFmtId="14" fontId="0" fillId="8" borderId="8" xfId="2" applyNumberFormat="1" applyFont="1" applyFill="1" applyBorder="1" applyAlignment="1">
      <alignment horizontal="center" vertical="center"/>
    </xf>
    <xf numFmtId="14" fontId="8" fillId="8" borderId="8" xfId="0" applyNumberFormat="1" applyFont="1" applyFill="1" applyBorder="1" applyAlignment="1">
      <alignment horizontal="center" vertical="center"/>
    </xf>
    <xf numFmtId="0" fontId="8" fillId="21" borderId="8" xfId="4" applyFont="1" applyFill="1" applyBorder="1" applyAlignment="1">
      <alignment horizontal="center" vertical="center" wrapText="1"/>
    </xf>
    <xf numFmtId="14" fontId="8" fillId="22" borderId="8" xfId="5" applyNumberFormat="1" applyFont="1" applyFill="1" applyBorder="1" applyAlignment="1">
      <alignment horizontal="center" vertical="center" wrapText="1"/>
    </xf>
    <xf numFmtId="1" fontId="0" fillId="8" borderId="8" xfId="0" applyNumberFormat="1" applyFont="1" applyFill="1" applyBorder="1" applyAlignment="1">
      <alignment horizontal="center" vertical="center"/>
    </xf>
    <xf numFmtId="164" fontId="0" fillId="33" borderId="8" xfId="0" applyNumberFormat="1" applyFont="1" applyFill="1" applyBorder="1" applyAlignment="1">
      <alignment horizontal="center" vertical="center"/>
    </xf>
    <xf numFmtId="0" fontId="0" fillId="8" borderId="0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9" fontId="0" fillId="0" borderId="0" xfId="2" applyFont="1" applyAlignment="1">
      <alignment horizontal="center" vertical="center" wrapText="1"/>
    </xf>
    <xf numFmtId="9" fontId="0" fillId="14" borderId="1" xfId="2" applyFont="1" applyFill="1" applyBorder="1" applyAlignment="1">
      <alignment horizontal="center" vertical="center"/>
    </xf>
    <xf numFmtId="164" fontId="8" fillId="33" borderId="8" xfId="0" applyNumberFormat="1" applyFont="1" applyFill="1" applyBorder="1" applyAlignment="1">
      <alignment horizontal="center" vertical="center" wrapText="1"/>
    </xf>
    <xf numFmtId="0" fontId="5" fillId="38" borderId="1" xfId="7" applyFont="1" applyFill="1" applyBorder="1" applyAlignment="1">
      <alignment horizontal="center" vertical="center" wrapText="1"/>
    </xf>
    <xf numFmtId="14" fontId="8" fillId="38" borderId="1" xfId="7" applyNumberFormat="1" applyFont="1" applyFill="1" applyBorder="1" applyAlignment="1">
      <alignment horizontal="center" vertical="center"/>
    </xf>
    <xf numFmtId="14" fontId="8" fillId="38" borderId="8" xfId="7" applyNumberFormat="1" applyFont="1" applyFill="1" applyBorder="1" applyAlignment="1">
      <alignment horizontal="center" vertical="center"/>
    </xf>
    <xf numFmtId="14" fontId="8" fillId="37" borderId="8" xfId="5" applyNumberFormat="1" applyFont="1" applyFill="1" applyBorder="1" applyAlignment="1">
      <alignment horizontal="center" vertical="center"/>
    </xf>
    <xf numFmtId="14" fontId="8" fillId="37" borderId="8" xfId="5" applyNumberFormat="1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 wrapText="1"/>
    </xf>
    <xf numFmtId="3" fontId="0" fillId="9" borderId="8" xfId="0" applyNumberFormat="1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/>
    </xf>
    <xf numFmtId="9" fontId="0" fillId="9" borderId="8" xfId="2" applyFont="1" applyFill="1" applyBorder="1" applyAlignment="1">
      <alignment horizontal="center" vertical="center"/>
    </xf>
    <xf numFmtId="0" fontId="0" fillId="9" borderId="1" xfId="0" applyFont="1" applyFill="1" applyBorder="1" applyAlignment="1">
      <alignment horizontal="center" vertical="center"/>
    </xf>
    <xf numFmtId="9" fontId="0" fillId="9" borderId="1" xfId="2" applyFont="1" applyFill="1" applyBorder="1" applyAlignment="1">
      <alignment horizontal="center" vertical="center"/>
    </xf>
    <xf numFmtId="3" fontId="8" fillId="9" borderId="8" xfId="0" applyNumberFormat="1" applyFont="1" applyFill="1" applyBorder="1" applyAlignment="1">
      <alignment horizontal="center" vertical="center" wrapText="1"/>
    </xf>
    <xf numFmtId="3" fontId="0" fillId="9" borderId="8" xfId="0" applyNumberFormat="1" applyFont="1" applyFill="1" applyBorder="1" applyAlignment="1">
      <alignment horizontal="center" vertical="center" wrapText="1"/>
    </xf>
    <xf numFmtId="0" fontId="8" fillId="9" borderId="8" xfId="0" applyFont="1" applyFill="1" applyBorder="1" applyAlignment="1">
      <alignment horizontal="center" vertical="center" wrapText="1"/>
    </xf>
    <xf numFmtId="9" fontId="8" fillId="9" borderId="8" xfId="2" applyFont="1" applyFill="1" applyBorder="1" applyAlignment="1">
      <alignment horizontal="center" vertical="center" wrapText="1"/>
    </xf>
    <xf numFmtId="9" fontId="8" fillId="9" borderId="8" xfId="2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 vertical="center" wrapText="1"/>
    </xf>
    <xf numFmtId="9" fontId="0" fillId="9" borderId="8" xfId="2" applyFont="1" applyFill="1" applyBorder="1" applyAlignment="1">
      <alignment horizontal="center" vertical="center" wrapText="1"/>
    </xf>
    <xf numFmtId="3" fontId="8" fillId="9" borderId="8" xfId="0" applyNumberFormat="1" applyFont="1" applyFill="1" applyBorder="1" applyAlignment="1">
      <alignment horizontal="center" vertical="center"/>
    </xf>
    <xf numFmtId="0" fontId="8" fillId="9" borderId="8" xfId="0" applyFont="1" applyFill="1" applyBorder="1" applyAlignment="1">
      <alignment horizontal="center" vertical="center"/>
    </xf>
    <xf numFmtId="0" fontId="8" fillId="9" borderId="0" xfId="3" applyFont="1" applyFill="1" applyBorder="1" applyAlignment="1">
      <alignment horizontal="center"/>
    </xf>
    <xf numFmtId="0" fontId="8" fillId="9" borderId="0" xfId="0" applyFont="1" applyFill="1" applyBorder="1" applyAlignment="1">
      <alignment horizontal="center"/>
    </xf>
    <xf numFmtId="0" fontId="8" fillId="9" borderId="0" xfId="0" applyFont="1" applyFill="1" applyAlignment="1">
      <alignment horizontal="center"/>
    </xf>
    <xf numFmtId="0" fontId="8" fillId="9" borderId="0" xfId="0" applyFont="1" applyFill="1" applyAlignment="1">
      <alignment horizontal="center" vertical="center"/>
    </xf>
    <xf numFmtId="44" fontId="8" fillId="9" borderId="0" xfId="0" applyNumberFormat="1" applyFont="1" applyFill="1" applyAlignment="1">
      <alignment horizontal="center" vertical="center"/>
    </xf>
    <xf numFmtId="167" fontId="8" fillId="0" borderId="0" xfId="0" applyNumberFormat="1" applyFont="1" applyAlignment="1">
      <alignment horizontal="center" vertical="center"/>
    </xf>
    <xf numFmtId="4" fontId="9" fillId="25" borderId="1" xfId="0" applyNumberFormat="1" applyFont="1" applyFill="1" applyBorder="1" applyAlignment="1">
      <alignment horizontal="center" vertical="center"/>
    </xf>
    <xf numFmtId="1" fontId="0" fillId="8" borderId="0" xfId="0" applyNumberFormat="1" applyFont="1" applyFill="1" applyBorder="1" applyAlignment="1">
      <alignment horizontal="center"/>
    </xf>
    <xf numFmtId="1" fontId="0" fillId="0" borderId="0" xfId="0" applyNumberFormat="1" applyFont="1" applyBorder="1" applyAlignment="1">
      <alignment horizont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Font="1" applyAlignment="1">
      <alignment horizontal="center" vertical="center"/>
    </xf>
    <xf numFmtId="1" fontId="7" fillId="0" borderId="0" xfId="0" applyNumberFormat="1" applyFont="1" applyBorder="1" applyAlignment="1">
      <alignment horizontal="center" vertical="center"/>
    </xf>
    <xf numFmtId="3" fontId="0" fillId="32" borderId="8" xfId="0" applyNumberFormat="1" applyFont="1" applyFill="1" applyBorder="1" applyAlignment="1">
      <alignment horizontal="center" vertical="center"/>
    </xf>
    <xf numFmtId="3" fontId="8" fillId="32" borderId="8" xfId="1" applyNumberFormat="1" applyFont="1" applyFill="1" applyBorder="1" applyAlignment="1">
      <alignment horizontal="center" vertical="center"/>
    </xf>
    <xf numFmtId="3" fontId="8" fillId="8" borderId="8" xfId="1" applyNumberFormat="1" applyFont="1" applyFill="1" applyBorder="1" applyAlignment="1">
      <alignment horizontal="center" vertical="center"/>
    </xf>
    <xf numFmtId="3" fontId="9" fillId="8" borderId="8" xfId="1" applyNumberFormat="1" applyFont="1" applyFill="1" applyBorder="1" applyAlignment="1">
      <alignment horizontal="center" vertical="center"/>
    </xf>
    <xf numFmtId="164" fontId="0" fillId="33" borderId="8" xfId="0" applyNumberFormat="1" applyFont="1" applyFill="1" applyBorder="1" applyAlignment="1">
      <alignment horizontal="center" vertical="center" wrapText="1"/>
    </xf>
    <xf numFmtId="164" fontId="8" fillId="33" borderId="8" xfId="1" applyNumberFormat="1" applyFont="1" applyFill="1" applyBorder="1" applyAlignment="1">
      <alignment horizontal="center" vertical="center"/>
    </xf>
    <xf numFmtId="164" fontId="8" fillId="33" borderId="8" xfId="0" applyNumberFormat="1" applyFont="1" applyFill="1" applyBorder="1" applyAlignment="1">
      <alignment horizontal="center" vertical="center"/>
    </xf>
    <xf numFmtId="14" fontId="0" fillId="33" borderId="8" xfId="0" applyNumberFormat="1" applyFont="1" applyFill="1" applyBorder="1" applyAlignment="1">
      <alignment horizontal="center" vertical="center"/>
    </xf>
    <xf numFmtId="14" fontId="0" fillId="33" borderId="8" xfId="0" applyNumberFormat="1" applyFont="1" applyFill="1" applyBorder="1" applyAlignment="1">
      <alignment horizontal="center" vertical="center" wrapText="1"/>
    </xf>
    <xf numFmtId="14" fontId="0" fillId="33" borderId="8" xfId="2" applyNumberFormat="1" applyFont="1" applyFill="1" applyBorder="1" applyAlignment="1">
      <alignment horizontal="center" vertical="center"/>
    </xf>
    <xf numFmtId="14" fontId="8" fillId="33" borderId="8" xfId="0" applyNumberFormat="1" applyFont="1" applyFill="1" applyBorder="1" applyAlignment="1">
      <alignment horizontal="center" vertical="center"/>
    </xf>
    <xf numFmtId="1" fontId="8" fillId="33" borderId="8" xfId="1" applyNumberFormat="1" applyFont="1" applyFill="1" applyBorder="1" applyAlignment="1">
      <alignment horizontal="center" vertical="center"/>
    </xf>
    <xf numFmtId="1" fontId="19" fillId="8" borderId="8" xfId="1" applyNumberFormat="1" applyFont="1" applyFill="1" applyBorder="1" applyAlignment="1">
      <alignment horizontal="center" vertical="center"/>
    </xf>
    <xf numFmtId="0" fontId="19" fillId="8" borderId="8" xfId="0" applyFont="1" applyFill="1" applyBorder="1" applyAlignment="1">
      <alignment horizontal="center" vertical="center"/>
    </xf>
    <xf numFmtId="3" fontId="8" fillId="33" borderId="8" xfId="1" applyNumberFormat="1" applyFont="1" applyFill="1" applyBorder="1" applyAlignment="1">
      <alignment horizontal="center" vertical="center"/>
    </xf>
    <xf numFmtId="1" fontId="1" fillId="33" borderId="8" xfId="1" applyNumberFormat="1" applyFont="1" applyFill="1" applyBorder="1" applyAlignment="1">
      <alignment horizontal="center" vertical="center"/>
    </xf>
    <xf numFmtId="1" fontId="0" fillId="33" borderId="8" xfId="0" applyNumberFormat="1" applyFont="1" applyFill="1" applyBorder="1" applyAlignment="1">
      <alignment horizontal="center" vertical="center"/>
    </xf>
    <xf numFmtId="1" fontId="19" fillId="8" borderId="8" xfId="0" applyNumberFormat="1" applyFont="1" applyFill="1" applyBorder="1" applyAlignment="1">
      <alignment horizontal="center" vertical="center"/>
    </xf>
    <xf numFmtId="3" fontId="19" fillId="8" borderId="8" xfId="0" applyNumberFormat="1" applyFont="1" applyFill="1" applyBorder="1" applyAlignment="1">
      <alignment horizontal="center" vertical="center"/>
    </xf>
    <xf numFmtId="1" fontId="19" fillId="8" borderId="8" xfId="2" applyNumberFormat="1" applyFont="1" applyFill="1" applyBorder="1" applyAlignment="1">
      <alignment horizontal="center" vertical="center"/>
    </xf>
    <xf numFmtId="3" fontId="20" fillId="0" borderId="0" xfId="0" applyNumberFormat="1" applyFont="1" applyAlignment="1">
      <alignment horizontal="center" vertical="center"/>
    </xf>
    <xf numFmtId="3" fontId="5" fillId="0" borderId="0" xfId="0" applyNumberFormat="1" applyFont="1" applyAlignment="1">
      <alignment horizontal="center" vertical="center" wrapText="1"/>
    </xf>
    <xf numFmtId="3" fontId="8" fillId="0" borderId="0" xfId="0" applyNumberFormat="1" applyFont="1" applyAlignment="1">
      <alignment horizontal="center" vertical="center" wrapText="1"/>
    </xf>
    <xf numFmtId="14" fontId="8" fillId="2" borderId="8" xfId="3" applyNumberFormat="1" applyFont="1" applyBorder="1" applyAlignment="1">
      <alignment horizontal="center" vertical="center" wrapText="1"/>
    </xf>
    <xf numFmtId="0" fontId="5" fillId="8" borderId="8" xfId="0" applyFont="1" applyFill="1" applyBorder="1" applyAlignment="1">
      <alignment horizontal="center" vertical="center"/>
    </xf>
    <xf numFmtId="4" fontId="0" fillId="0" borderId="0" xfId="0" applyNumberFormat="1" applyFont="1" applyAlignment="1">
      <alignment horizontal="center"/>
    </xf>
    <xf numFmtId="0" fontId="5" fillId="0" borderId="0" xfId="0" applyFont="1" applyAlignment="1">
      <alignment horizontal="center" vertical="center"/>
    </xf>
    <xf numFmtId="14" fontId="9" fillId="0" borderId="8" xfId="0" applyNumberFormat="1" applyFont="1" applyBorder="1" applyAlignment="1">
      <alignment horizontal="center" vertical="center"/>
    </xf>
    <xf numFmtId="1" fontId="8" fillId="32" borderId="8" xfId="0" applyNumberFormat="1" applyFont="1" applyFill="1" applyBorder="1" applyAlignment="1">
      <alignment horizontal="center" vertical="center"/>
    </xf>
    <xf numFmtId="14" fontId="9" fillId="8" borderId="8" xfId="1" applyNumberFormat="1" applyFont="1" applyFill="1" applyBorder="1" applyAlignment="1">
      <alignment horizontal="center" vertical="center" wrapText="1"/>
    </xf>
    <xf numFmtId="0" fontId="6" fillId="9" borderId="8" xfId="0" applyFont="1" applyFill="1" applyBorder="1" applyAlignment="1">
      <alignment horizontal="center" vertical="center" wrapText="1"/>
    </xf>
    <xf numFmtId="14" fontId="9" fillId="2" borderId="8" xfId="3" applyNumberFormat="1" applyFont="1" applyBorder="1" applyAlignment="1">
      <alignment horizontal="center" vertical="center" wrapText="1"/>
    </xf>
    <xf numFmtId="0" fontId="8" fillId="14" borderId="8" xfId="0" applyFont="1" applyFill="1" applyBorder="1" applyAlignment="1">
      <alignment horizontal="center" vertical="center"/>
    </xf>
    <xf numFmtId="164" fontId="8" fillId="22" borderId="8" xfId="5" applyNumberFormat="1" applyFont="1" applyFill="1" applyBorder="1" applyAlignment="1">
      <alignment horizontal="center" vertical="center"/>
    </xf>
    <xf numFmtId="4" fontId="0" fillId="27" borderId="8" xfId="0" applyNumberFormat="1" applyFont="1" applyFill="1" applyBorder="1" applyAlignment="1">
      <alignment horizontal="center" vertical="center"/>
    </xf>
    <xf numFmtId="9" fontId="1" fillId="0" borderId="0" xfId="2" applyFont="1" applyAlignment="1">
      <alignment horizontal="center" vertical="center"/>
    </xf>
    <xf numFmtId="14" fontId="9" fillId="8" borderId="8" xfId="0" applyNumberFormat="1" applyFont="1" applyFill="1" applyBorder="1" applyAlignment="1">
      <alignment horizontal="center" vertical="center"/>
    </xf>
    <xf numFmtId="170" fontId="9" fillId="0" borderId="8" xfId="0" applyNumberFormat="1" applyFont="1" applyBorder="1" applyAlignment="1">
      <alignment horizontal="center" vertical="center" wrapText="1"/>
    </xf>
    <xf numFmtId="0" fontId="0" fillId="29" borderId="0" xfId="0" applyFont="1" applyFill="1" applyAlignment="1">
      <alignment horizontal="center" vertical="center"/>
    </xf>
    <xf numFmtId="0" fontId="6" fillId="29" borderId="0" xfId="0" applyFont="1" applyFill="1" applyAlignment="1">
      <alignment horizontal="center" vertical="center"/>
    </xf>
    <xf numFmtId="0" fontId="0" fillId="29" borderId="8" xfId="0" applyFont="1" applyFill="1" applyBorder="1" applyAlignment="1">
      <alignment horizontal="center" vertical="center"/>
    </xf>
    <xf numFmtId="0" fontId="21" fillId="29" borderId="11" xfId="12" applyFont="1" applyFill="1" applyBorder="1"/>
    <xf numFmtId="0" fontId="21" fillId="29" borderId="11" xfId="9" applyFont="1" applyFill="1" applyBorder="1"/>
    <xf numFmtId="14" fontId="8" fillId="39" borderId="8" xfId="0" applyNumberFormat="1" applyFont="1" applyFill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14" fontId="0" fillId="0" borderId="8" xfId="0" applyNumberFormat="1" applyFont="1" applyBorder="1" applyAlignment="1">
      <alignment horizontal="center" vertical="center"/>
    </xf>
    <xf numFmtId="164" fontId="0" fillId="0" borderId="8" xfId="0" applyNumberFormat="1" applyFont="1" applyBorder="1" applyAlignment="1">
      <alignment horizontal="center" vertical="center"/>
    </xf>
    <xf numFmtId="169" fontId="9" fillId="0" borderId="8" xfId="0" applyNumberFormat="1" applyFont="1" applyBorder="1" applyAlignment="1">
      <alignment horizontal="center" vertical="center"/>
    </xf>
    <xf numFmtId="3" fontId="0" fillId="40" borderId="8" xfId="0" applyNumberFormat="1" applyFont="1" applyFill="1" applyBorder="1" applyAlignment="1">
      <alignment horizontal="center" vertical="center"/>
    </xf>
    <xf numFmtId="0" fontId="5" fillId="41" borderId="8" xfId="0" applyFont="1" applyFill="1" applyBorder="1" applyAlignment="1">
      <alignment horizontal="center" vertical="center" wrapText="1"/>
    </xf>
    <xf numFmtId="164" fontId="0" fillId="41" borderId="8" xfId="0" applyNumberFormat="1" applyFont="1" applyFill="1" applyBorder="1" applyAlignment="1">
      <alignment horizontal="center" vertical="center"/>
    </xf>
    <xf numFmtId="3" fontId="0" fillId="41" borderId="8" xfId="0" applyNumberFormat="1" applyFont="1" applyFill="1" applyBorder="1" applyAlignment="1">
      <alignment horizontal="center" vertical="center"/>
    </xf>
    <xf numFmtId="14" fontId="0" fillId="41" borderId="8" xfId="0" applyNumberFormat="1" applyFont="1" applyFill="1" applyBorder="1" applyAlignment="1">
      <alignment horizontal="center" vertical="center"/>
    </xf>
    <xf numFmtId="0" fontId="0" fillId="40" borderId="8" xfId="0" applyFont="1" applyFill="1" applyBorder="1" applyAlignment="1">
      <alignment horizontal="center" vertical="center"/>
    </xf>
    <xf numFmtId="164" fontId="9" fillId="8" borderId="8" xfId="0" applyNumberFormat="1" applyFont="1" applyFill="1" applyBorder="1" applyAlignment="1">
      <alignment horizontal="center" vertical="center"/>
    </xf>
    <xf numFmtId="3" fontId="9" fillId="41" borderId="8" xfId="0" applyNumberFormat="1" applyFont="1" applyFill="1" applyBorder="1" applyAlignment="1">
      <alignment horizontal="center" vertical="center"/>
    </xf>
    <xf numFmtId="0" fontId="6" fillId="34" borderId="8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3" fontId="6" fillId="34" borderId="8" xfId="0" applyNumberFormat="1" applyFont="1" applyFill="1" applyBorder="1" applyAlignment="1">
      <alignment horizontal="center" vertical="center"/>
    </xf>
    <xf numFmtId="3" fontId="8" fillId="41" borderId="8" xfId="0" applyNumberFormat="1" applyFont="1" applyFill="1" applyBorder="1" applyAlignment="1">
      <alignment horizontal="center" vertical="center"/>
    </xf>
    <xf numFmtId="14" fontId="9" fillId="2" borderId="1" xfId="3" applyNumberFormat="1" applyFont="1" applyBorder="1" applyAlignment="1">
      <alignment horizontal="center" vertical="center" wrapText="1"/>
    </xf>
    <xf numFmtId="0" fontId="8" fillId="16" borderId="8" xfId="5" applyFont="1" applyFill="1" applyBorder="1" applyAlignment="1">
      <alignment horizontal="center" vertical="center"/>
    </xf>
    <xf numFmtId="165" fontId="8" fillId="10" borderId="8" xfId="0" applyNumberFormat="1" applyFont="1" applyFill="1" applyBorder="1" applyAlignment="1">
      <alignment horizontal="center" vertical="center"/>
    </xf>
    <xf numFmtId="14" fontId="8" fillId="10" borderId="8" xfId="0" applyNumberFormat="1" applyFont="1" applyFill="1" applyBorder="1" applyAlignment="1">
      <alignment horizontal="center" vertical="center"/>
    </xf>
    <xf numFmtId="0" fontId="0" fillId="14" borderId="0" xfId="0" applyFont="1" applyFill="1" applyAlignment="1">
      <alignment horizontal="center" vertical="center"/>
    </xf>
    <xf numFmtId="164" fontId="8" fillId="42" borderId="8" xfId="6" applyNumberFormat="1" applyFont="1" applyFill="1" applyBorder="1" applyAlignment="1">
      <alignment horizontal="center" vertical="center"/>
    </xf>
    <xf numFmtId="164" fontId="8" fillId="42" borderId="8" xfId="7" applyNumberFormat="1" applyFont="1" applyFill="1" applyBorder="1" applyAlignment="1">
      <alignment horizontal="center" vertical="center"/>
    </xf>
    <xf numFmtId="0" fontId="0" fillId="33" borderId="8" xfId="0" applyFont="1" applyFill="1" applyBorder="1" applyAlignment="1">
      <alignment horizontal="center" vertical="center"/>
    </xf>
    <xf numFmtId="14" fontId="8" fillId="33" borderId="8" xfId="0" applyNumberFormat="1" applyFont="1" applyFill="1" applyBorder="1" applyAlignment="1">
      <alignment horizontal="center" vertical="center" wrapText="1"/>
    </xf>
    <xf numFmtId="14" fontId="0" fillId="33" borderId="8" xfId="2" applyNumberFormat="1" applyFont="1" applyFill="1" applyBorder="1" applyAlignment="1">
      <alignment horizontal="center" vertical="center" wrapText="1"/>
    </xf>
    <xf numFmtId="164" fontId="8" fillId="33" borderId="8" xfId="1" applyNumberFormat="1" applyFont="1" applyFill="1" applyBorder="1" applyAlignment="1">
      <alignment horizontal="center" vertical="center" wrapText="1"/>
    </xf>
    <xf numFmtId="0" fontId="8" fillId="38" borderId="8" xfId="7" applyFont="1" applyFill="1" applyBorder="1" applyAlignment="1">
      <alignment horizontal="center" vertical="center" wrapText="1"/>
    </xf>
    <xf numFmtId="165" fontId="8" fillId="12" borderId="8" xfId="0" applyNumberFormat="1" applyFont="1" applyFill="1" applyBorder="1" applyAlignment="1">
      <alignment horizontal="center" vertical="center"/>
    </xf>
    <xf numFmtId="0" fontId="6" fillId="41" borderId="8" xfId="0" applyFont="1" applyFill="1" applyBorder="1" applyAlignment="1">
      <alignment horizontal="center" vertical="center"/>
    </xf>
    <xf numFmtId="3" fontId="14" fillId="0" borderId="0" xfId="0" applyNumberFormat="1" applyFont="1" applyAlignment="1">
      <alignment horizontal="center" vertical="center"/>
    </xf>
    <xf numFmtId="3" fontId="6" fillId="0" borderId="0" xfId="0" applyNumberFormat="1" applyFont="1" applyAlignment="1">
      <alignment horizontal="center" vertical="center"/>
    </xf>
    <xf numFmtId="164" fontId="5" fillId="44" borderId="8" xfId="7" applyNumberFormat="1" applyFont="1" applyFill="1" applyBorder="1" applyAlignment="1">
      <alignment horizontal="center" vertical="center" wrapText="1"/>
    </xf>
    <xf numFmtId="164" fontId="8" fillId="44" borderId="8" xfId="7" applyNumberFormat="1" applyFont="1" applyFill="1" applyBorder="1" applyAlignment="1">
      <alignment horizontal="center" vertical="center" wrapText="1"/>
    </xf>
    <xf numFmtId="164" fontId="8" fillId="44" borderId="8" xfId="7" applyNumberFormat="1" applyFont="1" applyFill="1" applyBorder="1" applyAlignment="1">
      <alignment horizontal="center" vertical="center"/>
    </xf>
    <xf numFmtId="14" fontId="8" fillId="33" borderId="8" xfId="1" applyNumberFormat="1" applyFont="1" applyFill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 wrapText="1"/>
    </xf>
    <xf numFmtId="0" fontId="0" fillId="41" borderId="8" xfId="0" applyFont="1" applyFill="1" applyBorder="1" applyAlignment="1">
      <alignment horizontal="center" vertical="center"/>
    </xf>
    <xf numFmtId="0" fontId="13" fillId="41" borderId="8" xfId="0" applyFont="1" applyFill="1" applyBorder="1" applyAlignment="1">
      <alignment horizontal="center" vertical="center"/>
    </xf>
    <xf numFmtId="0" fontId="6" fillId="44" borderId="0" xfId="0" applyFont="1" applyFill="1" applyAlignment="1">
      <alignment horizontal="center" vertical="center"/>
    </xf>
    <xf numFmtId="9" fontId="8" fillId="10" borderId="8" xfId="2" applyFont="1" applyFill="1" applyBorder="1" applyAlignment="1">
      <alignment horizontal="center" vertical="center" wrapText="1"/>
    </xf>
    <xf numFmtId="0" fontId="8" fillId="9" borderId="8" xfId="3" applyFont="1" applyFill="1" applyBorder="1" applyAlignment="1">
      <alignment horizontal="center" vertical="center" wrapText="1"/>
    </xf>
    <xf numFmtId="0" fontId="8" fillId="9" borderId="8" xfId="8" applyFont="1" applyFill="1" applyBorder="1" applyAlignment="1">
      <alignment horizontal="center" vertical="center" wrapText="1"/>
    </xf>
    <xf numFmtId="164" fontId="8" fillId="9" borderId="8" xfId="8" applyNumberFormat="1" applyFont="1" applyFill="1" applyBorder="1" applyAlignment="1">
      <alignment horizontal="center" vertical="center" wrapText="1"/>
    </xf>
    <xf numFmtId="14" fontId="8" fillId="33" borderId="1" xfId="3" applyNumberFormat="1" applyFont="1" applyFill="1" applyBorder="1" applyAlignment="1">
      <alignment horizontal="center" vertical="center" wrapText="1"/>
    </xf>
    <xf numFmtId="0" fontId="6" fillId="8" borderId="0" xfId="0" applyFont="1" applyFill="1" applyBorder="1" applyAlignment="1">
      <alignment horizontal="center"/>
    </xf>
    <xf numFmtId="0" fontId="5" fillId="8" borderId="0" xfId="0" applyFont="1" applyFill="1" applyAlignment="1">
      <alignment horizontal="center"/>
    </xf>
    <xf numFmtId="3" fontId="6" fillId="9" borderId="8" xfId="0" applyNumberFormat="1" applyFont="1" applyFill="1" applyBorder="1" applyAlignment="1">
      <alignment horizontal="center" vertical="center"/>
    </xf>
    <xf numFmtId="0" fontId="6" fillId="8" borderId="0" xfId="0" applyFont="1" applyFill="1" applyBorder="1" applyAlignment="1">
      <alignment horizontal="center" wrapText="1"/>
    </xf>
    <xf numFmtId="0" fontId="6" fillId="0" borderId="0" xfId="0" applyFont="1" applyBorder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9" fontId="6" fillId="0" borderId="0" xfId="2" applyFont="1" applyAlignment="1">
      <alignment horizontal="center" vertical="center" wrapText="1"/>
    </xf>
    <xf numFmtId="0" fontId="6" fillId="32" borderId="8" xfId="0" applyFont="1" applyFill="1" applyBorder="1" applyAlignment="1">
      <alignment horizontal="center" vertical="center"/>
    </xf>
    <xf numFmtId="3" fontId="8" fillId="32" borderId="8" xfId="0" applyNumberFormat="1" applyFont="1" applyFill="1" applyBorder="1" applyAlignment="1">
      <alignment horizontal="center" vertical="center"/>
    </xf>
    <xf numFmtId="164" fontId="8" fillId="32" borderId="8" xfId="0" applyNumberFormat="1" applyFont="1" applyFill="1" applyBorder="1" applyAlignment="1">
      <alignment horizontal="center" vertical="center"/>
    </xf>
    <xf numFmtId="14" fontId="8" fillId="32" borderId="8" xfId="0" applyNumberFormat="1" applyFont="1" applyFill="1" applyBorder="1" applyAlignment="1">
      <alignment horizontal="center" vertical="center"/>
    </xf>
    <xf numFmtId="1" fontId="0" fillId="8" borderId="1" xfId="0" applyNumberFormat="1" applyFont="1" applyFill="1" applyBorder="1" applyAlignment="1">
      <alignment horizontal="center" vertical="center"/>
    </xf>
    <xf numFmtId="1" fontId="5" fillId="8" borderId="1" xfId="0" applyNumberFormat="1" applyFont="1" applyFill="1" applyBorder="1" applyAlignment="1">
      <alignment horizontal="center"/>
    </xf>
    <xf numFmtId="0" fontId="0" fillId="0" borderId="0" xfId="0" applyAlignment="1">
      <alignment horizontal="left" indent="2"/>
    </xf>
    <xf numFmtId="0" fontId="6" fillId="0" borderId="0" xfId="0" applyFont="1" applyBorder="1" applyAlignment="1">
      <alignment horizontal="center" vertical="center"/>
    </xf>
    <xf numFmtId="164" fontId="8" fillId="32" borderId="8" xfId="0" applyNumberFormat="1" applyFont="1" applyFill="1" applyBorder="1" applyAlignment="1">
      <alignment horizontal="center" vertical="center" wrapText="1"/>
    </xf>
    <xf numFmtId="3" fontId="6" fillId="32" borderId="8" xfId="0" applyNumberFormat="1" applyFont="1" applyFill="1" applyBorder="1" applyAlignment="1">
      <alignment horizontal="center" vertical="center"/>
    </xf>
    <xf numFmtId="0" fontId="5" fillId="32" borderId="8" xfId="0" applyFont="1" applyFill="1" applyBorder="1" applyAlignment="1">
      <alignment horizontal="center" vertical="center" wrapText="1"/>
    </xf>
    <xf numFmtId="0" fontId="8" fillId="32" borderId="8" xfId="0" applyFont="1" applyFill="1" applyBorder="1" applyAlignment="1">
      <alignment horizontal="center" vertical="center"/>
    </xf>
    <xf numFmtId="14" fontId="9" fillId="32" borderId="8" xfId="0" applyNumberFormat="1" applyFont="1" applyFill="1" applyBorder="1" applyAlignment="1">
      <alignment horizontal="center" vertical="center"/>
    </xf>
    <xf numFmtId="0" fontId="8" fillId="33" borderId="8" xfId="0" applyFont="1" applyFill="1" applyBorder="1" applyAlignment="1">
      <alignment horizontal="center" vertical="center"/>
    </xf>
    <xf numFmtId="1" fontId="8" fillId="33" borderId="8" xfId="0" applyNumberFormat="1" applyFont="1" applyFill="1" applyBorder="1" applyAlignment="1">
      <alignment horizontal="center" vertical="center"/>
    </xf>
    <xf numFmtId="3" fontId="8" fillId="33" borderId="8" xfId="0" applyNumberFormat="1" applyFont="1" applyFill="1" applyBorder="1" applyAlignment="1">
      <alignment horizontal="center" vertical="center"/>
    </xf>
    <xf numFmtId="14" fontId="9" fillId="33" borderId="8" xfId="0" applyNumberFormat="1" applyFont="1" applyFill="1" applyBorder="1" applyAlignment="1">
      <alignment horizontal="center" vertical="center"/>
    </xf>
    <xf numFmtId="0" fontId="6" fillId="33" borderId="8" xfId="0" applyFont="1" applyFill="1" applyBorder="1" applyAlignment="1">
      <alignment horizontal="center" vertical="center"/>
    </xf>
    <xf numFmtId="164" fontId="9" fillId="33" borderId="8" xfId="0" applyNumberFormat="1" applyFont="1" applyFill="1" applyBorder="1" applyAlignment="1">
      <alignment horizontal="center" vertical="center"/>
    </xf>
    <xf numFmtId="3" fontId="9" fillId="33" borderId="8" xfId="0" applyNumberFormat="1" applyFont="1" applyFill="1" applyBorder="1" applyAlignment="1">
      <alignment horizontal="center" vertical="center"/>
    </xf>
    <xf numFmtId="3" fontId="0" fillId="33" borderId="8" xfId="0" applyNumberFormat="1" applyFont="1" applyFill="1" applyBorder="1" applyAlignment="1">
      <alignment horizontal="center" vertical="center"/>
    </xf>
    <xf numFmtId="3" fontId="6" fillId="33" borderId="8" xfId="0" applyNumberFormat="1" applyFont="1" applyFill="1" applyBorder="1" applyAlignment="1">
      <alignment horizontal="center" vertical="center"/>
    </xf>
    <xf numFmtId="0" fontId="0" fillId="8" borderId="0" xfId="0" applyNumberFormat="1" applyFont="1" applyFill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0" fillId="0" borderId="0" xfId="0" applyNumberFormat="1" applyFont="1" applyAlignment="1">
      <alignment horizontal="center" vertical="center"/>
    </xf>
    <xf numFmtId="0" fontId="7" fillId="0" borderId="0" xfId="0" applyNumberFormat="1" applyFont="1" applyBorder="1" applyAlignment="1">
      <alignment horizontal="center" vertical="center"/>
    </xf>
    <xf numFmtId="0" fontId="6" fillId="8" borderId="0" xfId="0" applyFont="1" applyFill="1" applyAlignment="1">
      <alignment horizontal="center" vertical="center"/>
    </xf>
    <xf numFmtId="0" fontId="6" fillId="8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vertical="center"/>
    </xf>
    <xf numFmtId="0" fontId="5" fillId="8" borderId="5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14" fontId="8" fillId="33" borderId="8" xfId="3" applyNumberFormat="1" applyFont="1" applyFill="1" applyBorder="1" applyAlignment="1">
      <alignment horizontal="center" vertical="center" wrapText="1"/>
    </xf>
    <xf numFmtId="0" fontId="0" fillId="32" borderId="13" xfId="0" applyNumberFormat="1" applyFont="1" applyFill="1" applyBorder="1" applyAlignment="1">
      <alignment horizontal="center" vertical="center"/>
    </xf>
    <xf numFmtId="0" fontId="1" fillId="33" borderId="13" xfId="1" applyNumberFormat="1" applyFont="1" applyFill="1" applyBorder="1" applyAlignment="1">
      <alignment horizontal="center" vertical="center"/>
    </xf>
    <xf numFmtId="0" fontId="8" fillId="32" borderId="13" xfId="1" applyNumberFormat="1" applyFont="1" applyFill="1" applyBorder="1" applyAlignment="1">
      <alignment horizontal="center" vertical="center"/>
    </xf>
    <xf numFmtId="0" fontId="19" fillId="8" borderId="13" xfId="0" applyNumberFormat="1" applyFont="1" applyFill="1" applyBorder="1" applyAlignment="1">
      <alignment horizontal="center" vertical="center"/>
    </xf>
    <xf numFmtId="0" fontId="19" fillId="8" borderId="13" xfId="2" applyNumberFormat="1" applyFont="1" applyFill="1" applyBorder="1" applyAlignment="1">
      <alignment horizontal="center" vertical="center"/>
    </xf>
    <xf numFmtId="0" fontId="17" fillId="8" borderId="13" xfId="1" applyNumberFormat="1" applyFont="1" applyFill="1" applyBorder="1" applyAlignment="1">
      <alignment horizontal="center" vertical="center"/>
    </xf>
    <xf numFmtId="164" fontId="8" fillId="33" borderId="16" xfId="1" applyNumberFormat="1" applyFont="1" applyFill="1" applyBorder="1" applyAlignment="1">
      <alignment horizontal="center" vertical="center"/>
    </xf>
    <xf numFmtId="164" fontId="0" fillId="32" borderId="16" xfId="0" applyNumberFormat="1" applyFont="1" applyFill="1" applyBorder="1" applyAlignment="1">
      <alignment horizontal="center" vertical="center"/>
    </xf>
    <xf numFmtId="164" fontId="8" fillId="32" borderId="16" xfId="1" applyNumberFormat="1" applyFont="1" applyFill="1" applyBorder="1" applyAlignment="1">
      <alignment horizontal="center" vertical="center"/>
    </xf>
    <xf numFmtId="164" fontId="8" fillId="33" borderId="16" xfId="0" applyNumberFormat="1" applyFont="1" applyFill="1" applyBorder="1" applyAlignment="1">
      <alignment horizontal="center" vertical="center"/>
    </xf>
    <xf numFmtId="164" fontId="19" fillId="8" borderId="16" xfId="0" applyNumberFormat="1" applyFont="1" applyFill="1" applyBorder="1" applyAlignment="1">
      <alignment horizontal="center" vertical="center"/>
    </xf>
    <xf numFmtId="164" fontId="0" fillId="32" borderId="13" xfId="1" applyNumberFormat="1" applyFont="1" applyFill="1" applyBorder="1" applyAlignment="1">
      <alignment horizontal="center" vertical="center"/>
    </xf>
    <xf numFmtId="164" fontId="8" fillId="32" borderId="13" xfId="1" applyNumberFormat="1" applyFont="1" applyFill="1" applyBorder="1" applyAlignment="1">
      <alignment horizontal="center" vertical="center"/>
    </xf>
    <xf numFmtId="14" fontId="9" fillId="8" borderId="13" xfId="1" applyNumberFormat="1" applyFont="1" applyFill="1" applyBorder="1" applyAlignment="1">
      <alignment horizontal="center" vertical="center"/>
    </xf>
    <xf numFmtId="169" fontId="9" fillId="8" borderId="13" xfId="1" applyNumberFormat="1" applyFont="1" applyFill="1" applyBorder="1" applyAlignment="1">
      <alignment horizontal="center" vertical="center"/>
    </xf>
    <xf numFmtId="164" fontId="8" fillId="33" borderId="13" xfId="1" applyNumberFormat="1" applyFont="1" applyFill="1" applyBorder="1" applyAlignment="1">
      <alignment horizontal="center" vertical="center"/>
    </xf>
    <xf numFmtId="164" fontId="0" fillId="32" borderId="16" xfId="1" applyNumberFormat="1" applyFont="1" applyFill="1" applyBorder="1" applyAlignment="1">
      <alignment horizontal="center" vertical="center"/>
    </xf>
    <xf numFmtId="169" fontId="9" fillId="8" borderId="16" xfId="1" applyNumberFormat="1" applyFont="1" applyFill="1" applyBorder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164" fontId="8" fillId="14" borderId="8" xfId="7" applyNumberFormat="1" applyFont="1" applyFill="1" applyBorder="1" applyAlignment="1">
      <alignment horizontal="center" vertical="center"/>
    </xf>
    <xf numFmtId="0" fontId="8" fillId="33" borderId="13" xfId="0" applyNumberFormat="1" applyFont="1" applyFill="1" applyBorder="1" applyAlignment="1">
      <alignment horizontal="center" vertical="center"/>
    </xf>
    <xf numFmtId="0" fontId="6" fillId="29" borderId="5" xfId="0" applyFont="1" applyFill="1" applyBorder="1" applyAlignment="1">
      <alignment horizontal="center" vertical="center"/>
    </xf>
    <xf numFmtId="0" fontId="6" fillId="29" borderId="2" xfId="0" applyFont="1" applyFill="1" applyBorder="1" applyAlignment="1">
      <alignment horizontal="center" vertical="center"/>
    </xf>
    <xf numFmtId="0" fontId="6" fillId="29" borderId="2" xfId="0" applyFont="1" applyFill="1" applyBorder="1" applyAlignment="1">
      <alignment horizontal="center" vertical="center" wrapText="1"/>
    </xf>
    <xf numFmtId="0" fontId="6" fillId="29" borderId="10" xfId="0" applyFont="1" applyFill="1" applyBorder="1" applyAlignment="1">
      <alignment horizontal="center" vertical="center"/>
    </xf>
    <xf numFmtId="41" fontId="6" fillId="29" borderId="2" xfId="0" applyNumberFormat="1" applyFont="1" applyFill="1" applyBorder="1" applyAlignment="1">
      <alignment horizontal="center" vertical="center"/>
    </xf>
    <xf numFmtId="0" fontId="6" fillId="29" borderId="6" xfId="0" applyFont="1" applyFill="1" applyBorder="1" applyAlignment="1">
      <alignment horizontal="center" vertical="center"/>
    </xf>
    <xf numFmtId="41" fontId="6" fillId="29" borderId="0" xfId="0" applyNumberFormat="1" applyFont="1" applyFill="1" applyAlignment="1">
      <alignment horizontal="center" vertical="center"/>
    </xf>
    <xf numFmtId="41" fontId="0" fillId="29" borderId="9" xfId="0" applyNumberFormat="1" applyFont="1" applyFill="1" applyBorder="1" applyAlignment="1"/>
    <xf numFmtId="41" fontId="0" fillId="29" borderId="6" xfId="0" applyNumberFormat="1" applyFont="1" applyFill="1" applyBorder="1" applyAlignment="1"/>
    <xf numFmtId="0" fontId="0" fillId="0" borderId="18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 wrapText="1"/>
    </xf>
    <xf numFmtId="9" fontId="0" fillId="0" borderId="19" xfId="2" applyFont="1" applyBorder="1" applyAlignment="1">
      <alignment horizontal="center" vertical="center"/>
    </xf>
    <xf numFmtId="9" fontId="0" fillId="0" borderId="23" xfId="2" applyFont="1" applyBorder="1" applyAlignment="1">
      <alignment horizontal="center" vertical="center"/>
    </xf>
    <xf numFmtId="9" fontId="0" fillId="0" borderId="21" xfId="2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9" fontId="6" fillId="0" borderId="25" xfId="0" applyNumberFormat="1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9" fontId="6" fillId="0" borderId="25" xfId="2" applyFont="1" applyBorder="1" applyAlignment="1">
      <alignment horizontal="center" vertical="center"/>
    </xf>
    <xf numFmtId="164" fontId="8" fillId="14" borderId="8" xfId="6" applyNumberFormat="1" applyFont="1" applyFill="1" applyBorder="1" applyAlignment="1">
      <alignment horizontal="center" vertical="center" wrapText="1"/>
    </xf>
    <xf numFmtId="164" fontId="8" fillId="14" borderId="8" xfId="6" applyNumberFormat="1" applyFont="1" applyFill="1" applyBorder="1" applyAlignment="1">
      <alignment horizontal="center" vertical="center"/>
    </xf>
    <xf numFmtId="9" fontId="6" fillId="0" borderId="27" xfId="2" applyFont="1" applyBorder="1" applyAlignment="1">
      <alignment horizontal="center" vertical="center"/>
    </xf>
    <xf numFmtId="9" fontId="6" fillId="0" borderId="25" xfId="0" applyNumberFormat="1" applyFont="1" applyBorder="1" applyAlignment="1">
      <alignment horizontal="center" vertical="center" wrapText="1"/>
    </xf>
    <xf numFmtId="9" fontId="6" fillId="0" borderId="25" xfId="2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14" fontId="8" fillId="39" borderId="8" xfId="3" applyNumberFormat="1" applyFont="1" applyFill="1" applyBorder="1" applyAlignment="1">
      <alignment horizontal="center" vertical="center" wrapText="1"/>
    </xf>
    <xf numFmtId="3" fontId="9" fillId="8" borderId="8" xfId="0" applyNumberFormat="1" applyFont="1" applyFill="1" applyBorder="1" applyAlignment="1">
      <alignment horizontal="center" vertical="center"/>
    </xf>
    <xf numFmtId="3" fontId="6" fillId="8" borderId="8" xfId="0" applyNumberFormat="1" applyFont="1" applyFill="1" applyBorder="1" applyAlignment="1">
      <alignment horizontal="center" vertical="center"/>
    </xf>
    <xf numFmtId="165" fontId="0" fillId="14" borderId="8" xfId="0" applyNumberFormat="1" applyFont="1" applyFill="1" applyBorder="1" applyAlignment="1">
      <alignment horizontal="center" vertical="center"/>
    </xf>
    <xf numFmtId="165" fontId="0" fillId="14" borderId="1" xfId="0" applyNumberFormat="1" applyFont="1" applyFill="1" applyBorder="1" applyAlignment="1">
      <alignment horizontal="center" vertical="center"/>
    </xf>
    <xf numFmtId="9" fontId="8" fillId="14" borderId="1" xfId="2" applyFont="1" applyFill="1" applyBorder="1" applyAlignment="1">
      <alignment horizontal="center" vertical="center" wrapText="1"/>
    </xf>
    <xf numFmtId="165" fontId="8" fillId="14" borderId="8" xfId="0" applyNumberFormat="1" applyFont="1" applyFill="1" applyBorder="1" applyAlignment="1">
      <alignment horizontal="center" vertical="center"/>
    </xf>
    <xf numFmtId="4" fontId="8" fillId="14" borderId="8" xfId="0" applyNumberFormat="1" applyFont="1" applyFill="1" applyBorder="1" applyAlignment="1">
      <alignment horizontal="center" vertical="center"/>
    </xf>
    <xf numFmtId="43" fontId="8" fillId="14" borderId="1" xfId="1" applyFont="1" applyFill="1" applyBorder="1" applyAlignment="1">
      <alignment horizontal="center" vertical="center" wrapText="1"/>
    </xf>
    <xf numFmtId="10" fontId="0" fillId="14" borderId="8" xfId="2" applyNumberFormat="1" applyFont="1" applyFill="1" applyBorder="1" applyAlignment="1">
      <alignment horizontal="center" vertical="center"/>
    </xf>
    <xf numFmtId="9" fontId="8" fillId="14" borderId="8" xfId="2" applyFont="1" applyFill="1" applyBorder="1" applyAlignment="1">
      <alignment horizontal="center" vertical="center" wrapText="1"/>
    </xf>
    <xf numFmtId="43" fontId="8" fillId="14" borderId="8" xfId="1" applyFont="1" applyFill="1" applyBorder="1" applyAlignment="1">
      <alignment horizontal="center" vertical="center" wrapText="1"/>
    </xf>
    <xf numFmtId="0" fontId="6" fillId="44" borderId="8" xfId="0" applyFont="1" applyFill="1" applyBorder="1" applyAlignment="1">
      <alignment horizontal="center" vertical="center" wrapText="1"/>
    </xf>
    <xf numFmtId="164" fontId="8" fillId="14" borderId="8" xfId="7" applyNumberFormat="1" applyFont="1" applyFill="1" applyBorder="1" applyAlignment="1">
      <alignment horizontal="center" vertical="center" wrapText="1"/>
    </xf>
    <xf numFmtId="0" fontId="24" fillId="45" borderId="14" xfId="0" applyFont="1" applyFill="1" applyBorder="1" applyAlignment="1">
      <alignment horizontal="center" vertical="center"/>
    </xf>
    <xf numFmtId="1" fontId="9" fillId="0" borderId="0" xfId="0" applyNumberFormat="1" applyFont="1" applyAlignment="1">
      <alignment horizontal="center" vertical="center"/>
    </xf>
    <xf numFmtId="1" fontId="9" fillId="0" borderId="0" xfId="0" applyNumberFormat="1" applyFont="1" applyAlignment="1">
      <alignment horizontal="center" vertical="center" wrapText="1"/>
    </xf>
    <xf numFmtId="1" fontId="0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8" borderId="8" xfId="0" applyFont="1" applyFill="1" applyBorder="1" applyAlignment="1">
      <alignment horizontal="center" vertical="center"/>
    </xf>
    <xf numFmtId="0" fontId="8" fillId="14" borderId="8" xfId="0" applyFont="1" applyFill="1" applyBorder="1" applyAlignment="1">
      <alignment horizontal="center" vertical="center" wrapText="1"/>
    </xf>
    <xf numFmtId="4" fontId="0" fillId="25" borderId="8" xfId="0" applyNumberFormat="1" applyFont="1" applyFill="1" applyBorder="1" applyAlignment="1">
      <alignment horizontal="center" vertical="center"/>
    </xf>
    <xf numFmtId="0" fontId="8" fillId="4" borderId="8" xfId="5" applyFont="1" applyBorder="1" applyAlignment="1">
      <alignment horizontal="center" vertical="center" wrapText="1"/>
    </xf>
    <xf numFmtId="164" fontId="9" fillId="8" borderId="16" xfId="1" applyNumberFormat="1" applyFont="1" applyFill="1" applyBorder="1" applyAlignment="1">
      <alignment horizontal="center" vertical="center"/>
    </xf>
    <xf numFmtId="43" fontId="8" fillId="17" borderId="8" xfId="3" applyNumberFormat="1" applyFont="1" applyFill="1" applyBorder="1" applyAlignment="1">
      <alignment horizontal="center" vertical="center" wrapText="1"/>
    </xf>
    <xf numFmtId="43" fontId="8" fillId="10" borderId="8" xfId="1" applyFont="1" applyFill="1" applyBorder="1" applyAlignment="1">
      <alignment horizontal="center" vertical="center" wrapText="1"/>
    </xf>
    <xf numFmtId="170" fontId="8" fillId="32" borderId="8" xfId="0" applyNumberFormat="1" applyFont="1" applyFill="1" applyBorder="1" applyAlignment="1">
      <alignment horizontal="center" vertical="center"/>
    </xf>
    <xf numFmtId="14" fontId="8" fillId="32" borderId="8" xfId="3" applyNumberFormat="1" applyFont="1" applyFill="1" applyBorder="1" applyAlignment="1">
      <alignment horizontal="center" vertical="center" wrapText="1"/>
    </xf>
    <xf numFmtId="164" fontId="8" fillId="22" borderId="1" xfId="5" applyNumberFormat="1" applyFont="1" applyFill="1" applyBorder="1" applyAlignment="1">
      <alignment horizontal="center" vertical="center"/>
    </xf>
    <xf numFmtId="0" fontId="0" fillId="32" borderId="8" xfId="0" applyFont="1" applyFill="1" applyBorder="1" applyAlignment="1">
      <alignment horizontal="center" vertical="center" wrapText="1"/>
    </xf>
    <xf numFmtId="14" fontId="8" fillId="8" borderId="8" xfId="0" applyNumberFormat="1" applyFont="1" applyFill="1" applyBorder="1" applyAlignment="1">
      <alignment horizontal="center" vertical="center" wrapText="1"/>
    </xf>
    <xf numFmtId="4" fontId="8" fillId="25" borderId="8" xfId="0" applyNumberFormat="1" applyFont="1" applyFill="1" applyBorder="1" applyAlignment="1">
      <alignment horizontal="center" vertical="center"/>
    </xf>
    <xf numFmtId="165" fontId="8" fillId="23" borderId="8" xfId="0" applyNumberFormat="1" applyFont="1" applyFill="1" applyBorder="1" applyAlignment="1">
      <alignment horizontal="center" vertical="center"/>
    </xf>
    <xf numFmtId="166" fontId="8" fillId="10" borderId="8" xfId="1" applyNumberFormat="1" applyFont="1" applyFill="1" applyBorder="1" applyAlignment="1">
      <alignment horizontal="center" vertical="center" wrapText="1"/>
    </xf>
    <xf numFmtId="0" fontId="0" fillId="44" borderId="0" xfId="0" applyFont="1" applyFill="1" applyAlignment="1">
      <alignment horizontal="center" vertical="center"/>
    </xf>
    <xf numFmtId="164" fontId="9" fillId="8" borderId="13" xfId="1" applyNumberFormat="1" applyFont="1" applyFill="1" applyBorder="1" applyAlignment="1">
      <alignment horizontal="center" vertical="center"/>
    </xf>
    <xf numFmtId="0" fontId="29" fillId="8" borderId="8" xfId="0" applyFont="1" applyFill="1" applyBorder="1" applyAlignment="1">
      <alignment horizontal="center" vertical="center"/>
    </xf>
    <xf numFmtId="0" fontId="8" fillId="9" borderId="1" xfId="3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/>
    </xf>
    <xf numFmtId="9" fontId="8" fillId="9" borderId="1" xfId="2" applyFont="1" applyFill="1" applyBorder="1" applyAlignment="1">
      <alignment horizontal="center" vertical="center"/>
    </xf>
    <xf numFmtId="0" fontId="8" fillId="14" borderId="1" xfId="0" applyFont="1" applyFill="1" applyBorder="1" applyAlignment="1">
      <alignment horizontal="center" vertical="center" wrapText="1"/>
    </xf>
    <xf numFmtId="0" fontId="8" fillId="8" borderId="1" xfId="0" applyFont="1" applyFill="1" applyBorder="1" applyAlignment="1">
      <alignment horizontal="center" vertical="center" wrapText="1"/>
    </xf>
    <xf numFmtId="4" fontId="8" fillId="8" borderId="1" xfId="0" applyNumberFormat="1" applyFont="1" applyFill="1" applyBorder="1" applyAlignment="1">
      <alignment horizontal="center" vertical="center"/>
    </xf>
    <xf numFmtId="4" fontId="8" fillId="25" borderId="1" xfId="0" applyNumberFormat="1" applyFont="1" applyFill="1" applyBorder="1" applyAlignment="1">
      <alignment horizontal="center" vertical="center"/>
    </xf>
    <xf numFmtId="0" fontId="8" fillId="21" borderId="1" xfId="4" applyFont="1" applyFill="1" applyBorder="1" applyAlignment="1">
      <alignment horizontal="center" vertical="center" wrapText="1"/>
    </xf>
    <xf numFmtId="0" fontId="8" fillId="4" borderId="1" xfId="5" applyFont="1" applyBorder="1" applyAlignment="1">
      <alignment horizontal="center" vertical="center" wrapText="1"/>
    </xf>
    <xf numFmtId="0" fontId="8" fillId="16" borderId="1" xfId="5" applyFont="1" applyFill="1" applyBorder="1" applyAlignment="1">
      <alignment horizontal="center" vertical="center"/>
    </xf>
    <xf numFmtId="165" fontId="8" fillId="22" borderId="1" xfId="5" applyNumberFormat="1" applyFont="1" applyFill="1" applyBorder="1" applyAlignment="1">
      <alignment horizontal="center" vertical="center"/>
    </xf>
    <xf numFmtId="14" fontId="8" fillId="17" borderId="1" xfId="7" applyNumberFormat="1" applyFont="1" applyFill="1" applyBorder="1" applyAlignment="1">
      <alignment horizontal="center" vertical="center" wrapText="1"/>
    </xf>
    <xf numFmtId="0" fontId="5" fillId="17" borderId="1" xfId="7" applyFont="1" applyFill="1" applyBorder="1" applyAlignment="1">
      <alignment horizontal="center" vertical="center" wrapText="1"/>
    </xf>
    <xf numFmtId="0" fontId="8" fillId="38" borderId="1" xfId="7" applyFont="1" applyFill="1" applyBorder="1" applyAlignment="1">
      <alignment horizontal="center" vertical="center" wrapText="1"/>
    </xf>
    <xf numFmtId="14" fontId="8" fillId="38" borderId="1" xfId="7" applyNumberFormat="1" applyFont="1" applyFill="1" applyBorder="1" applyAlignment="1">
      <alignment horizontal="center" vertical="center" wrapText="1"/>
    </xf>
    <xf numFmtId="0" fontId="5" fillId="17" borderId="1" xfId="6" applyFont="1" applyFill="1" applyBorder="1" applyAlignment="1">
      <alignment horizontal="center" vertical="center" wrapText="1"/>
    </xf>
    <xf numFmtId="43" fontId="8" fillId="17" borderId="1" xfId="3" applyNumberFormat="1" applyFont="1" applyFill="1" applyBorder="1" applyAlignment="1">
      <alignment horizontal="center" vertical="center" wrapText="1"/>
    </xf>
    <xf numFmtId="3" fontId="8" fillId="11" borderId="1" xfId="1" applyNumberFormat="1" applyFont="1" applyFill="1" applyBorder="1" applyAlignment="1">
      <alignment horizontal="center" vertical="center" wrapText="1"/>
    </xf>
    <xf numFmtId="165" fontId="8" fillId="11" borderId="1" xfId="0" applyNumberFormat="1" applyFont="1" applyFill="1" applyBorder="1" applyAlignment="1">
      <alignment horizontal="center" vertical="center"/>
    </xf>
    <xf numFmtId="43" fontId="8" fillId="10" borderId="1" xfId="1" applyFont="1" applyFill="1" applyBorder="1" applyAlignment="1">
      <alignment horizontal="center" vertical="center" wrapText="1"/>
    </xf>
    <xf numFmtId="165" fontId="8" fillId="12" borderId="1" xfId="0" applyNumberFormat="1" applyFont="1" applyFill="1" applyBorder="1" applyAlignment="1">
      <alignment horizontal="center" vertical="center"/>
    </xf>
    <xf numFmtId="165" fontId="8" fillId="23" borderId="1" xfId="0" applyNumberFormat="1" applyFont="1" applyFill="1" applyBorder="1" applyAlignment="1">
      <alignment horizontal="center" vertical="center"/>
    </xf>
    <xf numFmtId="165" fontId="6" fillId="23" borderId="1" xfId="0" applyNumberFormat="1" applyFont="1" applyFill="1" applyBorder="1" applyAlignment="1">
      <alignment horizontal="center" vertical="center"/>
    </xf>
    <xf numFmtId="165" fontId="6" fillId="11" borderId="1" xfId="0" applyNumberFormat="1" applyFont="1" applyFill="1" applyBorder="1" applyAlignment="1">
      <alignment horizontal="center" vertical="center"/>
    </xf>
    <xf numFmtId="165" fontId="5" fillId="11" borderId="1" xfId="0" applyNumberFormat="1" applyFont="1" applyFill="1" applyBorder="1" applyAlignment="1">
      <alignment horizontal="center" vertical="center"/>
    </xf>
    <xf numFmtId="164" fontId="9" fillId="32" borderId="8" xfId="0" applyNumberFormat="1" applyFont="1" applyFill="1" applyBorder="1" applyAlignment="1">
      <alignment horizontal="center" vertical="center"/>
    </xf>
    <xf numFmtId="3" fontId="9" fillId="32" borderId="8" xfId="0" applyNumberFormat="1" applyFont="1" applyFill="1" applyBorder="1" applyAlignment="1">
      <alignment horizontal="center" vertical="center"/>
    </xf>
    <xf numFmtId="14" fontId="6" fillId="33" borderId="8" xfId="0" applyNumberFormat="1" applyFont="1" applyFill="1" applyBorder="1" applyAlignment="1">
      <alignment horizontal="center" vertical="center"/>
    </xf>
    <xf numFmtId="14" fontId="6" fillId="32" borderId="8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indent="3"/>
    </xf>
    <xf numFmtId="14" fontId="0" fillId="14" borderId="8" xfId="0" applyNumberFormat="1" applyFont="1" applyFill="1" applyBorder="1" applyAlignment="1">
      <alignment horizontal="center" vertical="center"/>
    </xf>
    <xf numFmtId="0" fontId="13" fillId="32" borderId="8" xfId="0" applyFont="1" applyFill="1" applyBorder="1" applyAlignment="1">
      <alignment horizontal="center" vertical="center"/>
    </xf>
    <xf numFmtId="164" fontId="8" fillId="32" borderId="16" xfId="0" applyNumberFormat="1" applyFont="1" applyFill="1" applyBorder="1" applyAlignment="1">
      <alignment horizontal="center" vertical="center"/>
    </xf>
    <xf numFmtId="0" fontId="8" fillId="32" borderId="13" xfId="0" applyNumberFormat="1" applyFont="1" applyFill="1" applyBorder="1" applyAlignment="1">
      <alignment horizontal="center" vertical="center"/>
    </xf>
    <xf numFmtId="1" fontId="19" fillId="8" borderId="13" xfId="0" applyNumberFormat="1" applyFont="1" applyFill="1" applyBorder="1" applyAlignment="1">
      <alignment horizontal="center" vertical="center"/>
    </xf>
    <xf numFmtId="1" fontId="0" fillId="32" borderId="13" xfId="0" applyNumberFormat="1" applyFont="1" applyFill="1" applyBorder="1" applyAlignment="1">
      <alignment horizontal="center" vertical="center"/>
    </xf>
    <xf numFmtId="1" fontId="8" fillId="32" borderId="13" xfId="1" applyNumberFormat="1" applyFont="1" applyFill="1" applyBorder="1" applyAlignment="1">
      <alignment horizontal="center" vertical="center"/>
    </xf>
    <xf numFmtId="1" fontId="1" fillId="33" borderId="13" xfId="1" applyNumberFormat="1" applyFont="1" applyFill="1" applyBorder="1" applyAlignment="1">
      <alignment horizontal="center" vertical="center"/>
    </xf>
    <xf numFmtId="1" fontId="8" fillId="33" borderId="13" xfId="0" applyNumberFormat="1" applyFont="1" applyFill="1" applyBorder="1" applyAlignment="1">
      <alignment horizontal="center" vertical="center"/>
    </xf>
    <xf numFmtId="1" fontId="8" fillId="32" borderId="13" xfId="0" applyNumberFormat="1" applyFont="1" applyFill="1" applyBorder="1" applyAlignment="1">
      <alignment horizontal="center" vertical="center"/>
    </xf>
    <xf numFmtId="1" fontId="19" fillId="8" borderId="13" xfId="2" applyNumberFormat="1" applyFont="1" applyFill="1" applyBorder="1" applyAlignment="1">
      <alignment horizontal="center" vertical="center"/>
    </xf>
    <xf numFmtId="1" fontId="17" fillId="8" borderId="13" xfId="1" applyNumberFormat="1" applyFont="1" applyFill="1" applyBorder="1" applyAlignment="1">
      <alignment horizontal="center" vertical="center"/>
    </xf>
    <xf numFmtId="9" fontId="8" fillId="10" borderId="1" xfId="2" applyFont="1" applyFill="1" applyBorder="1" applyAlignment="1">
      <alignment horizontal="center" vertical="center" wrapText="1"/>
    </xf>
    <xf numFmtId="166" fontId="8" fillId="10" borderId="1" xfId="1" applyNumberFormat="1" applyFont="1" applyFill="1" applyBorder="1" applyAlignment="1">
      <alignment horizontal="center" vertical="center" wrapText="1"/>
    </xf>
    <xf numFmtId="0" fontId="8" fillId="30" borderId="1" xfId="8" applyFont="1" applyFill="1" applyBorder="1" applyAlignment="1">
      <alignment horizontal="center" vertical="center"/>
    </xf>
    <xf numFmtId="0" fontId="8" fillId="31" borderId="1" xfId="3" applyFont="1" applyFill="1" applyBorder="1" applyAlignment="1">
      <alignment horizontal="center" vertical="center" wrapText="1"/>
    </xf>
    <xf numFmtId="164" fontId="9" fillId="0" borderId="16" xfId="0" applyNumberFormat="1" applyFont="1" applyBorder="1" applyAlignment="1">
      <alignment horizontal="center" vertical="center"/>
    </xf>
    <xf numFmtId="0" fontId="6" fillId="46" borderId="8" xfId="0" applyFont="1" applyFill="1" applyBorder="1" applyAlignment="1">
      <alignment horizontal="center" vertical="center"/>
    </xf>
    <xf numFmtId="193" fontId="0" fillId="11" borderId="1" xfId="0" applyNumberFormat="1" applyFont="1" applyFill="1" applyBorder="1" applyAlignment="1">
      <alignment horizontal="center" vertical="center"/>
    </xf>
    <xf numFmtId="9" fontId="19" fillId="8" borderId="8" xfId="2" applyFont="1" applyFill="1" applyBorder="1" applyAlignment="1">
      <alignment horizontal="center" vertical="center"/>
    </xf>
    <xf numFmtId="9" fontId="8" fillId="33" borderId="8" xfId="2" applyFont="1" applyFill="1" applyBorder="1" applyAlignment="1">
      <alignment horizontal="center" vertical="center"/>
    </xf>
    <xf numFmtId="9" fontId="0" fillId="33" borderId="8" xfId="2" applyFont="1" applyFill="1" applyBorder="1" applyAlignment="1">
      <alignment horizontal="center" vertical="center"/>
    </xf>
    <xf numFmtId="9" fontId="19" fillId="33" borderId="8" xfId="2" applyFont="1" applyFill="1" applyBorder="1" applyAlignment="1">
      <alignment horizontal="center" vertical="center"/>
    </xf>
    <xf numFmtId="164" fontId="19" fillId="44" borderId="16" xfId="0" applyNumberFormat="1" applyFont="1" applyFill="1" applyBorder="1" applyAlignment="1">
      <alignment horizontal="center" vertical="center"/>
    </xf>
    <xf numFmtId="164" fontId="8" fillId="32" borderId="29" xfId="1" applyNumberFormat="1" applyFont="1" applyFill="1" applyBorder="1" applyAlignment="1">
      <alignment horizontal="center" vertical="center"/>
    </xf>
    <xf numFmtId="0" fontId="0" fillId="32" borderId="13" xfId="1" applyNumberFormat="1" applyFont="1" applyFill="1" applyBorder="1" applyAlignment="1">
      <alignment horizontal="center" vertical="center"/>
    </xf>
    <xf numFmtId="193" fontId="8" fillId="11" borderId="1" xfId="0" applyNumberFormat="1" applyFont="1" applyFill="1" applyBorder="1" applyAlignment="1">
      <alignment horizontal="center" vertical="center"/>
    </xf>
    <xf numFmtId="193" fontId="8" fillId="12" borderId="1" xfId="0" applyNumberFormat="1" applyFont="1" applyFill="1" applyBorder="1" applyAlignment="1">
      <alignment horizontal="center" vertical="center"/>
    </xf>
    <xf numFmtId="193" fontId="0" fillId="12" borderId="1" xfId="0" applyNumberFormat="1" applyFont="1" applyFill="1" applyBorder="1" applyAlignment="1">
      <alignment horizontal="center" vertical="center"/>
    </xf>
    <xf numFmtId="3" fontId="8" fillId="39" borderId="8" xfId="0" applyNumberFormat="1" applyFont="1" applyFill="1" applyBorder="1" applyAlignment="1">
      <alignment horizontal="center" vertical="center"/>
    </xf>
    <xf numFmtId="3" fontId="0" fillId="0" borderId="8" xfId="0" applyNumberFormat="1" applyFont="1" applyBorder="1" applyAlignment="1">
      <alignment horizontal="center" vertical="center"/>
    </xf>
    <xf numFmtId="3" fontId="8" fillId="10" borderId="8" xfId="0" applyNumberFormat="1" applyFont="1" applyFill="1" applyBorder="1" applyAlignment="1">
      <alignment horizontal="center" vertical="center"/>
    </xf>
    <xf numFmtId="3" fontId="9" fillId="0" borderId="8" xfId="0" applyNumberFormat="1" applyFont="1" applyBorder="1" applyAlignment="1">
      <alignment horizontal="center" vertical="center"/>
    </xf>
    <xf numFmtId="3" fontId="0" fillId="34" borderId="8" xfId="0" applyNumberFormat="1" applyFont="1" applyFill="1" applyBorder="1" applyAlignment="1">
      <alignment horizontal="center" vertical="center"/>
    </xf>
    <xf numFmtId="164" fontId="9" fillId="8" borderId="29" xfId="1" applyNumberFormat="1" applyFont="1" applyFill="1" applyBorder="1" applyAlignment="1">
      <alignment horizontal="center" vertical="center"/>
    </xf>
    <xf numFmtId="0" fontId="30" fillId="8" borderId="1" xfId="0" applyFont="1" applyFill="1" applyBorder="1" applyAlignment="1">
      <alignment horizontal="center" vertical="center" wrapText="1"/>
    </xf>
    <xf numFmtId="0" fontId="30" fillId="8" borderId="8" xfId="0" applyFont="1" applyFill="1" applyBorder="1" applyAlignment="1">
      <alignment horizontal="center" vertical="center" wrapText="1"/>
    </xf>
    <xf numFmtId="0" fontId="30" fillId="9" borderId="8" xfId="0" applyFont="1" applyFill="1" applyBorder="1" applyAlignment="1">
      <alignment horizontal="center" vertical="center" wrapText="1"/>
    </xf>
    <xf numFmtId="0" fontId="30" fillId="9" borderId="1" xfId="3" applyFont="1" applyFill="1" applyBorder="1" applyAlignment="1">
      <alignment horizontal="center" vertical="center" wrapText="1"/>
    </xf>
    <xf numFmtId="0" fontId="30" fillId="11" borderId="1" xfId="0" applyFont="1" applyFill="1" applyBorder="1" applyAlignment="1">
      <alignment horizontal="center" vertical="center" wrapText="1"/>
    </xf>
    <xf numFmtId="41" fontId="30" fillId="8" borderId="8" xfId="0" applyNumberFormat="1" applyFont="1" applyFill="1" applyBorder="1" applyAlignment="1">
      <alignment horizontal="center" vertical="center" wrapText="1"/>
    </xf>
    <xf numFmtId="9" fontId="30" fillId="8" borderId="8" xfId="2" applyFont="1" applyFill="1" applyBorder="1" applyAlignment="1">
      <alignment horizontal="center" vertical="center" wrapText="1"/>
    </xf>
    <xf numFmtId="0" fontId="30" fillId="34" borderId="8" xfId="1" applyNumberFormat="1" applyFont="1" applyFill="1" applyBorder="1" applyAlignment="1">
      <alignment horizontal="center" vertical="center" wrapText="1"/>
    </xf>
    <xf numFmtId="0" fontId="30" fillId="21" borderId="1" xfId="4" applyFont="1" applyFill="1" applyBorder="1" applyAlignment="1">
      <alignment horizontal="center" vertical="center" wrapText="1"/>
    </xf>
    <xf numFmtId="0" fontId="30" fillId="4" borderId="1" xfId="5" applyFont="1" applyBorder="1" applyAlignment="1">
      <alignment horizontal="center" vertical="center" wrapText="1"/>
    </xf>
    <xf numFmtId="0" fontId="30" fillId="37" borderId="1" xfId="5" applyFont="1" applyFill="1" applyBorder="1" applyAlignment="1">
      <alignment horizontal="center" vertical="center" wrapText="1"/>
    </xf>
    <xf numFmtId="0" fontId="30" fillId="4" borderId="8" xfId="5" applyFont="1" applyBorder="1" applyAlignment="1">
      <alignment horizontal="center" vertical="center" wrapText="1"/>
    </xf>
    <xf numFmtId="0" fontId="30" fillId="6" borderId="1" xfId="7" applyFont="1" applyBorder="1" applyAlignment="1">
      <alignment horizontal="center" vertical="center" wrapText="1"/>
    </xf>
    <xf numFmtId="0" fontId="30" fillId="38" borderId="1" xfId="7" applyFont="1" applyFill="1" applyBorder="1" applyAlignment="1">
      <alignment horizontal="center" vertical="center" wrapText="1"/>
    </xf>
    <xf numFmtId="0" fontId="30" fillId="6" borderId="8" xfId="7" applyFont="1" applyBorder="1" applyAlignment="1">
      <alignment horizontal="center" vertical="center" wrapText="1"/>
    </xf>
    <xf numFmtId="0" fontId="30" fillId="44" borderId="8" xfId="7" applyFont="1" applyFill="1" applyBorder="1" applyAlignment="1">
      <alignment horizontal="center" vertical="center" wrapText="1"/>
    </xf>
    <xf numFmtId="0" fontId="30" fillId="2" borderId="1" xfId="3" applyFont="1" applyBorder="1" applyAlignment="1">
      <alignment horizontal="center" vertical="center" wrapText="1"/>
    </xf>
    <xf numFmtId="43" fontId="30" fillId="2" borderId="1" xfId="3" applyNumberFormat="1" applyFont="1" applyBorder="1" applyAlignment="1">
      <alignment horizontal="center" vertical="center" wrapText="1"/>
    </xf>
    <xf numFmtId="43" fontId="30" fillId="2" borderId="8" xfId="3" applyNumberFormat="1" applyFont="1" applyBorder="1" applyAlignment="1">
      <alignment horizontal="center" vertical="center" wrapText="1"/>
    </xf>
    <xf numFmtId="0" fontId="30" fillId="36" borderId="8" xfId="1" applyNumberFormat="1" applyFont="1" applyFill="1" applyBorder="1" applyAlignment="1">
      <alignment horizontal="center" vertical="center" wrapText="1"/>
    </xf>
    <xf numFmtId="0" fontId="30" fillId="36" borderId="15" xfId="1" applyNumberFormat="1" applyFont="1" applyFill="1" applyBorder="1" applyAlignment="1">
      <alignment horizontal="center" vertical="center" wrapText="1"/>
    </xf>
    <xf numFmtId="0" fontId="30" fillId="36" borderId="13" xfId="1" applyNumberFormat="1" applyFont="1" applyFill="1" applyBorder="1" applyAlignment="1">
      <alignment horizontal="center" vertical="center" wrapText="1"/>
    </xf>
    <xf numFmtId="1" fontId="30" fillId="36" borderId="8" xfId="1" applyNumberFormat="1" applyFont="1" applyFill="1" applyBorder="1" applyAlignment="1">
      <alignment horizontal="center" vertical="center" wrapText="1"/>
    </xf>
    <xf numFmtId="0" fontId="30" fillId="35" borderId="8" xfId="1" applyNumberFormat="1" applyFont="1" applyFill="1" applyBorder="1" applyAlignment="1">
      <alignment horizontal="center" vertical="center" wrapText="1"/>
    </xf>
    <xf numFmtId="0" fontId="30" fillId="35" borderId="8" xfId="1" applyNumberFormat="1" applyFont="1" applyFill="1" applyBorder="1" applyAlignment="1">
      <alignment horizontal="center" vertical="center"/>
    </xf>
    <xf numFmtId="43" fontId="30" fillId="17" borderId="1" xfId="3" applyNumberFormat="1" applyFont="1" applyFill="1" applyBorder="1" applyAlignment="1">
      <alignment horizontal="center" vertical="center" wrapText="1"/>
    </xf>
    <xf numFmtId="3" fontId="30" fillId="10" borderId="1" xfId="1" applyNumberFormat="1" applyFont="1" applyFill="1" applyBorder="1" applyAlignment="1">
      <alignment horizontal="center" vertical="center" wrapText="1"/>
    </xf>
    <xf numFmtId="3" fontId="30" fillId="11" borderId="1" xfId="1" applyNumberFormat="1" applyFont="1" applyFill="1" applyBorder="1" applyAlignment="1">
      <alignment horizontal="center" vertical="center" wrapText="1"/>
    </xf>
    <xf numFmtId="3" fontId="30" fillId="8" borderId="1" xfId="1" applyNumberFormat="1" applyFont="1" applyFill="1" applyBorder="1" applyAlignment="1">
      <alignment horizontal="center" vertical="center" wrapText="1"/>
    </xf>
    <xf numFmtId="3" fontId="30" fillId="18" borderId="1" xfId="1" applyNumberFormat="1" applyFont="1" applyFill="1" applyBorder="1" applyAlignment="1">
      <alignment horizontal="center" vertical="center" wrapText="1"/>
    </xf>
    <xf numFmtId="43" fontId="30" fillId="10" borderId="1" xfId="1" applyFont="1" applyFill="1" applyBorder="1" applyAlignment="1">
      <alignment horizontal="center" vertical="center" wrapText="1"/>
    </xf>
    <xf numFmtId="43" fontId="30" fillId="11" borderId="1" xfId="1" applyFont="1" applyFill="1" applyBorder="1" applyAlignment="1">
      <alignment horizontal="center" vertical="center" wrapText="1"/>
    </xf>
    <xf numFmtId="43" fontId="30" fillId="8" borderId="1" xfId="1" applyFont="1" applyFill="1" applyBorder="1" applyAlignment="1">
      <alignment horizontal="center" vertical="center" wrapText="1"/>
    </xf>
    <xf numFmtId="43" fontId="30" fillId="29" borderId="8" xfId="1" applyFont="1" applyFill="1" applyBorder="1" applyAlignment="1">
      <alignment horizontal="center" vertical="center" wrapText="1"/>
    </xf>
    <xf numFmtId="43" fontId="30" fillId="18" borderId="1" xfId="1" applyFont="1" applyFill="1" applyBorder="1" applyAlignment="1">
      <alignment horizontal="center" vertical="center" wrapText="1"/>
    </xf>
    <xf numFmtId="43" fontId="30" fillId="11" borderId="8" xfId="1" applyFont="1" applyFill="1" applyBorder="1" applyAlignment="1">
      <alignment horizontal="center" vertical="center" wrapText="1"/>
    </xf>
    <xf numFmtId="43" fontId="30" fillId="18" borderId="8" xfId="1" applyFont="1" applyFill="1" applyBorder="1" applyAlignment="1">
      <alignment horizontal="center" vertical="center" wrapText="1"/>
    </xf>
    <xf numFmtId="43" fontId="30" fillId="26" borderId="7" xfId="1" applyFont="1" applyFill="1" applyBorder="1" applyAlignment="1">
      <alignment horizontal="center" vertical="center" wrapText="1"/>
    </xf>
    <xf numFmtId="43" fontId="30" fillId="20" borderId="1" xfId="1" applyFont="1" applyFill="1" applyBorder="1" applyAlignment="1">
      <alignment horizontal="center" vertical="center" wrapText="1"/>
    </xf>
    <xf numFmtId="0" fontId="30" fillId="44" borderId="8" xfId="0" applyFont="1" applyFill="1" applyBorder="1" applyAlignment="1">
      <alignment horizontal="center" vertical="center" wrapText="1"/>
    </xf>
    <xf numFmtId="171" fontId="30" fillId="44" borderId="8" xfId="2" applyNumberFormat="1" applyFont="1" applyFill="1" applyBorder="1" applyAlignment="1">
      <alignment horizontal="center" vertical="center" wrapText="1"/>
    </xf>
    <xf numFmtId="195" fontId="30" fillId="44" borderId="8" xfId="2" applyNumberFormat="1" applyFont="1" applyFill="1" applyBorder="1" applyAlignment="1">
      <alignment horizontal="center" vertical="center" wrapText="1"/>
    </xf>
    <xf numFmtId="172" fontId="30" fillId="44" borderId="8" xfId="2" applyNumberFormat="1" applyFont="1" applyFill="1" applyBorder="1" applyAlignment="1">
      <alignment horizontal="center" vertical="center" wrapText="1"/>
    </xf>
    <xf numFmtId="173" fontId="30" fillId="44" borderId="8" xfId="2" applyNumberFormat="1" applyFont="1" applyFill="1" applyBorder="1" applyAlignment="1">
      <alignment horizontal="center" vertical="center" wrapText="1"/>
    </xf>
    <xf numFmtId="174" fontId="30" fillId="44" borderId="8" xfId="2" applyNumberFormat="1" applyFont="1" applyFill="1" applyBorder="1" applyAlignment="1">
      <alignment horizontal="center" vertical="center" wrapText="1"/>
    </xf>
    <xf numFmtId="175" fontId="30" fillId="44" borderId="8" xfId="2" applyNumberFormat="1" applyFont="1" applyFill="1" applyBorder="1" applyAlignment="1">
      <alignment horizontal="center" vertical="center" wrapText="1"/>
    </xf>
    <xf numFmtId="196" fontId="30" fillId="44" borderId="8" xfId="2" applyNumberFormat="1" applyFont="1" applyFill="1" applyBorder="1" applyAlignment="1">
      <alignment horizontal="center" vertical="center" wrapText="1"/>
    </xf>
    <xf numFmtId="177" fontId="30" fillId="44" borderId="8" xfId="2" applyNumberFormat="1" applyFont="1" applyFill="1" applyBorder="1" applyAlignment="1">
      <alignment horizontal="center" vertical="center" wrapText="1"/>
    </xf>
    <xf numFmtId="178" fontId="30" fillId="44" borderId="8" xfId="2" applyNumberFormat="1" applyFont="1" applyFill="1" applyBorder="1" applyAlignment="1">
      <alignment horizontal="center" vertical="center" wrapText="1"/>
    </xf>
    <xf numFmtId="179" fontId="30" fillId="44" borderId="8" xfId="2" applyNumberFormat="1" applyFont="1" applyFill="1" applyBorder="1" applyAlignment="1">
      <alignment horizontal="center" vertical="center" wrapText="1"/>
    </xf>
    <xf numFmtId="180" fontId="30" fillId="44" borderId="8" xfId="2" applyNumberFormat="1" applyFont="1" applyFill="1" applyBorder="1" applyAlignment="1">
      <alignment horizontal="center" vertical="center" wrapText="1"/>
    </xf>
    <xf numFmtId="181" fontId="30" fillId="44" borderId="8" xfId="2" applyNumberFormat="1" applyFont="1" applyFill="1" applyBorder="1" applyAlignment="1">
      <alignment horizontal="center" vertical="center" wrapText="1"/>
    </xf>
    <xf numFmtId="192" fontId="30" fillId="44" borderId="8" xfId="2" applyNumberFormat="1" applyFont="1" applyFill="1" applyBorder="1" applyAlignment="1">
      <alignment horizontal="center" vertical="center" wrapText="1"/>
    </xf>
    <xf numFmtId="194" fontId="30" fillId="44" borderId="8" xfId="2" applyNumberFormat="1" applyFont="1" applyFill="1" applyBorder="1" applyAlignment="1">
      <alignment horizontal="center" vertical="center" wrapText="1"/>
    </xf>
    <xf numFmtId="197" fontId="30" fillId="44" borderId="8" xfId="2" applyNumberFormat="1" applyFont="1" applyFill="1" applyBorder="1" applyAlignment="1">
      <alignment horizontal="center" vertical="center" wrapText="1"/>
    </xf>
    <xf numFmtId="198" fontId="30" fillId="44" borderId="8" xfId="2" applyNumberFormat="1" applyFont="1" applyFill="1" applyBorder="1" applyAlignment="1">
      <alignment horizontal="center" vertical="center" wrapText="1"/>
    </xf>
    <xf numFmtId="199" fontId="30" fillId="44" borderId="8" xfId="2" applyNumberFormat="1" applyFont="1" applyFill="1" applyBorder="1" applyAlignment="1">
      <alignment horizontal="center" vertical="center" wrapText="1"/>
    </xf>
    <xf numFmtId="0" fontId="31" fillId="46" borderId="0" xfId="10" applyFont="1" applyFill="1" applyAlignment="1">
      <alignment horizontal="center" vertical="center" wrapText="1"/>
    </xf>
    <xf numFmtId="0" fontId="32" fillId="46" borderId="0" xfId="10" applyFont="1" applyFill="1" applyAlignment="1">
      <alignment horizontal="center" vertical="center" wrapText="1"/>
    </xf>
    <xf numFmtId="0" fontId="31" fillId="51" borderId="0" xfId="10" applyFont="1" applyFill="1" applyAlignment="1">
      <alignment horizontal="center" vertical="center" wrapText="1"/>
    </xf>
    <xf numFmtId="0" fontId="31" fillId="11" borderId="0" xfId="10" applyFont="1" applyFill="1" applyAlignment="1">
      <alignment horizontal="center" vertical="center" wrapText="1"/>
    </xf>
    <xf numFmtId="0" fontId="31" fillId="34" borderId="0" xfId="10" applyFont="1" applyFill="1" applyAlignment="1">
      <alignment horizontal="center" vertical="center" wrapText="1"/>
    </xf>
    <xf numFmtId="0" fontId="31" fillId="50" borderId="0" xfId="10" applyFont="1" applyFill="1" applyAlignment="1">
      <alignment horizontal="center" vertical="center" wrapText="1"/>
    </xf>
    <xf numFmtId="0" fontId="30" fillId="8" borderId="0" xfId="0" applyFont="1" applyFill="1" applyAlignment="1">
      <alignment horizontal="center" vertical="center" wrapText="1"/>
    </xf>
    <xf numFmtId="1" fontId="22" fillId="52" borderId="8" xfId="0" applyNumberFormat="1" applyFont="1" applyFill="1" applyBorder="1" applyAlignment="1">
      <alignment horizontal="center" vertical="center"/>
    </xf>
    <xf numFmtId="164" fontId="35" fillId="32" borderId="12" xfId="0" applyNumberFormat="1" applyFont="1" applyFill="1" applyBorder="1" applyAlignment="1">
      <alignment horizontal="center" vertical="center"/>
    </xf>
    <xf numFmtId="164" fontId="35" fillId="32" borderId="11" xfId="0" applyNumberFormat="1" applyFont="1" applyFill="1" applyBorder="1" applyAlignment="1">
      <alignment horizontal="center" vertical="center"/>
    </xf>
    <xf numFmtId="164" fontId="35" fillId="32" borderId="8" xfId="0" applyNumberFormat="1" applyFont="1" applyFill="1" applyBorder="1" applyAlignment="1">
      <alignment horizontal="center" vertical="center"/>
    </xf>
    <xf numFmtId="1" fontId="35" fillId="52" borderId="8" xfId="0" applyNumberFormat="1" applyFont="1" applyFill="1" applyBorder="1" applyAlignment="1">
      <alignment horizontal="center" vertical="center"/>
    </xf>
    <xf numFmtId="164" fontId="9" fillId="12" borderId="8" xfId="0" applyNumberFormat="1" applyFont="1" applyFill="1" applyBorder="1" applyAlignment="1">
      <alignment horizontal="center" vertical="center"/>
    </xf>
    <xf numFmtId="3" fontId="0" fillId="12" borderId="8" xfId="0" applyNumberFormat="1" applyFont="1" applyFill="1" applyBorder="1" applyAlignment="1">
      <alignment horizontal="center" vertical="center"/>
    </xf>
    <xf numFmtId="1" fontId="22" fillId="54" borderId="8" xfId="0" applyNumberFormat="1" applyFont="1" applyFill="1" applyBorder="1" applyAlignment="1">
      <alignment horizontal="center" vertical="center"/>
    </xf>
    <xf numFmtId="1" fontId="35" fillId="54" borderId="8" xfId="0" applyNumberFormat="1" applyFont="1" applyFill="1" applyBorder="1" applyAlignment="1">
      <alignment horizontal="center" vertical="center"/>
    </xf>
    <xf numFmtId="1" fontId="0" fillId="12" borderId="8" xfId="0" applyNumberFormat="1" applyFont="1" applyFill="1" applyBorder="1" applyAlignment="1">
      <alignment horizontal="center" vertical="center"/>
    </xf>
    <xf numFmtId="176" fontId="0" fillId="12" borderId="8" xfId="0" applyNumberFormat="1" applyFont="1" applyFill="1" applyBorder="1" applyAlignment="1">
      <alignment horizontal="center" vertical="center"/>
    </xf>
    <xf numFmtId="164" fontId="0" fillId="12" borderId="8" xfId="0" applyNumberFormat="1" applyFont="1" applyFill="1" applyBorder="1" applyAlignment="1">
      <alignment horizontal="center" vertical="center"/>
    </xf>
    <xf numFmtId="3" fontId="9" fillId="12" borderId="8" xfId="0" applyNumberFormat="1" applyFont="1" applyFill="1" applyBorder="1" applyAlignment="1">
      <alignment horizontal="center" vertical="center"/>
    </xf>
    <xf numFmtId="0" fontId="0" fillId="12" borderId="8" xfId="0" applyFont="1" applyFill="1" applyBorder="1" applyAlignment="1">
      <alignment horizontal="center" vertical="center"/>
    </xf>
    <xf numFmtId="164" fontId="0" fillId="12" borderId="12" xfId="0" applyNumberFormat="1" applyFont="1" applyFill="1" applyBorder="1" applyAlignment="1">
      <alignment horizontal="center" vertical="center"/>
    </xf>
    <xf numFmtId="0" fontId="5" fillId="12" borderId="8" xfId="0" applyFont="1" applyFill="1" applyBorder="1" applyAlignment="1">
      <alignment horizontal="center" vertical="center" wrapText="1"/>
    </xf>
    <xf numFmtId="164" fontId="8" fillId="12" borderId="8" xfId="0" applyNumberFormat="1" applyFont="1" applyFill="1" applyBorder="1" applyAlignment="1">
      <alignment horizontal="center" vertical="center"/>
    </xf>
    <xf numFmtId="14" fontId="8" fillId="12" borderId="8" xfId="0" applyNumberFormat="1" applyFont="1" applyFill="1" applyBorder="1" applyAlignment="1">
      <alignment horizontal="center" vertical="center"/>
    </xf>
    <xf numFmtId="0" fontId="8" fillId="12" borderId="8" xfId="0" applyFont="1" applyFill="1" applyBorder="1" applyAlignment="1">
      <alignment horizontal="center" vertical="center"/>
    </xf>
    <xf numFmtId="0" fontId="13" fillId="12" borderId="8" xfId="0" applyFont="1" applyFill="1" applyBorder="1" applyAlignment="1">
      <alignment horizontal="center" vertical="center"/>
    </xf>
    <xf numFmtId="14" fontId="36" fillId="12" borderId="8" xfId="10" applyNumberFormat="1" applyFont="1" applyFill="1" applyBorder="1" applyAlignment="1">
      <alignment horizontal="center" vertical="center" wrapText="1"/>
    </xf>
    <xf numFmtId="164" fontId="9" fillId="43" borderId="8" xfId="0" applyNumberFormat="1" applyFont="1" applyFill="1" applyBorder="1" applyAlignment="1">
      <alignment horizontal="center" vertical="center"/>
    </xf>
    <xf numFmtId="0" fontId="0" fillId="43" borderId="8" xfId="0" applyFont="1" applyFill="1" applyBorder="1" applyAlignment="1">
      <alignment horizontal="center" vertical="center"/>
    </xf>
    <xf numFmtId="0" fontId="6" fillId="43" borderId="8" xfId="0" applyFont="1" applyFill="1" applyBorder="1" applyAlignment="1">
      <alignment horizontal="center" vertical="center"/>
    </xf>
    <xf numFmtId="164" fontId="0" fillId="43" borderId="8" xfId="0" applyNumberFormat="1" applyFont="1" applyFill="1" applyBorder="1" applyAlignment="1">
      <alignment horizontal="center" vertical="center"/>
    </xf>
    <xf numFmtId="3" fontId="0" fillId="43" borderId="8" xfId="0" applyNumberFormat="1" applyFont="1" applyFill="1" applyBorder="1" applyAlignment="1">
      <alignment horizontal="center" vertical="center"/>
    </xf>
    <xf numFmtId="1" fontId="22" fillId="55" borderId="8" xfId="0" applyNumberFormat="1" applyFont="1" applyFill="1" applyBorder="1" applyAlignment="1">
      <alignment horizontal="center" vertical="center"/>
    </xf>
    <xf numFmtId="1" fontId="0" fillId="43" borderId="8" xfId="0" applyNumberFormat="1" applyFont="1" applyFill="1" applyBorder="1" applyAlignment="1">
      <alignment horizontal="center" vertical="center"/>
    </xf>
    <xf numFmtId="1" fontId="6" fillId="43" borderId="8" xfId="0" applyNumberFormat="1" applyFont="1" applyFill="1" applyBorder="1" applyAlignment="1">
      <alignment horizontal="center" vertical="center"/>
    </xf>
    <xf numFmtId="3" fontId="9" fillId="43" borderId="8" xfId="0" applyNumberFormat="1" applyFont="1" applyFill="1" applyBorder="1" applyAlignment="1">
      <alignment horizontal="center" vertical="center"/>
    </xf>
    <xf numFmtId="164" fontId="8" fillId="43" borderId="8" xfId="0" applyNumberFormat="1" applyFont="1" applyFill="1" applyBorder="1" applyAlignment="1">
      <alignment horizontal="center" vertical="center"/>
    </xf>
    <xf numFmtId="3" fontId="8" fillId="43" borderId="8" xfId="0" applyNumberFormat="1" applyFont="1" applyFill="1" applyBorder="1" applyAlignment="1">
      <alignment horizontal="center" vertical="center"/>
    </xf>
    <xf numFmtId="1" fontId="22" fillId="32" borderId="8" xfId="0" applyNumberFormat="1" applyFont="1" applyFill="1" applyBorder="1" applyAlignment="1">
      <alignment horizontal="center" vertical="center"/>
    </xf>
    <xf numFmtId="164" fontId="0" fillId="12" borderId="11" xfId="0" applyNumberFormat="1" applyFont="1" applyFill="1" applyBorder="1" applyAlignment="1">
      <alignment horizontal="center" vertical="center"/>
    </xf>
    <xf numFmtId="0" fontId="0" fillId="53" borderId="8" xfId="0" applyFont="1" applyFill="1" applyBorder="1" applyAlignment="1">
      <alignment horizontal="center" vertical="center"/>
    </xf>
    <xf numFmtId="0" fontId="0" fillId="23" borderId="8" xfId="0" applyFont="1" applyFill="1" applyBorder="1" applyAlignment="1">
      <alignment horizontal="center" vertical="center"/>
    </xf>
    <xf numFmtId="3" fontId="33" fillId="23" borderId="8" xfId="10" applyNumberFormat="1" applyFont="1" applyFill="1" applyBorder="1" applyAlignment="1">
      <alignment horizontal="center" vertical="center" wrapText="1"/>
    </xf>
    <xf numFmtId="3" fontId="33" fillId="23" borderId="8" xfId="10" applyNumberFormat="1" applyFont="1" applyFill="1" applyBorder="1" applyAlignment="1">
      <alignment horizontal="right" vertical="center" wrapText="1"/>
    </xf>
    <xf numFmtId="3" fontId="0" fillId="53" borderId="8" xfId="0" applyNumberFormat="1" applyFont="1" applyFill="1" applyBorder="1" applyAlignment="1">
      <alignment horizontal="center" vertical="center"/>
    </xf>
    <xf numFmtId="176" fontId="0" fillId="53" borderId="8" xfId="0" applyNumberFormat="1" applyFont="1" applyFill="1" applyBorder="1" applyAlignment="1">
      <alignment horizontal="center" vertical="center"/>
    </xf>
    <xf numFmtId="3" fontId="0" fillId="23" borderId="8" xfId="0" applyNumberFormat="1" applyFont="1" applyFill="1" applyBorder="1" applyAlignment="1">
      <alignment horizontal="center" vertical="center"/>
    </xf>
    <xf numFmtId="0" fontId="0" fillId="23" borderId="12" xfId="0" applyFont="1" applyFill="1" applyBorder="1" applyAlignment="1">
      <alignment horizontal="center" vertical="center"/>
    </xf>
    <xf numFmtId="164" fontId="32" fillId="46" borderId="0" xfId="10" applyNumberFormat="1" applyFont="1" applyFill="1" applyAlignment="1">
      <alignment horizontal="center" vertical="center" wrapText="1"/>
    </xf>
    <xf numFmtId="164" fontId="31" fillId="46" borderId="0" xfId="10" applyNumberFormat="1" applyFont="1" applyFill="1" applyAlignment="1">
      <alignment horizontal="center" vertical="center" wrapText="1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 vertical="center"/>
    </xf>
    <xf numFmtId="164" fontId="37" fillId="46" borderId="0" xfId="10" applyNumberFormat="1" applyFont="1" applyFill="1" applyAlignment="1">
      <alignment horizontal="center" vertical="center" wrapText="1"/>
    </xf>
    <xf numFmtId="164" fontId="38" fillId="46" borderId="0" xfId="10" applyNumberFormat="1" applyFont="1" applyFill="1" applyAlignment="1">
      <alignment horizontal="center" vertical="center" wrapText="1"/>
    </xf>
    <xf numFmtId="164" fontId="31" fillId="11" borderId="0" xfId="10" applyNumberFormat="1" applyFont="1" applyFill="1" applyAlignment="1">
      <alignment horizontal="center" vertical="center" wrapText="1"/>
    </xf>
    <xf numFmtId="164" fontId="32" fillId="11" borderId="0" xfId="10" applyNumberFormat="1" applyFont="1" applyFill="1" applyAlignment="1">
      <alignment horizontal="center" vertical="center" wrapText="1"/>
    </xf>
    <xf numFmtId="164" fontId="13" fillId="12" borderId="8" xfId="0" applyNumberFormat="1" applyFont="1" applyFill="1" applyBorder="1" applyAlignment="1">
      <alignment horizontal="center" vertical="center"/>
    </xf>
    <xf numFmtId="164" fontId="5" fillId="8" borderId="0" xfId="0" applyNumberFormat="1" applyFont="1" applyFill="1" applyAlignment="1">
      <alignment horizontal="center" vertical="center" wrapText="1"/>
    </xf>
    <xf numFmtId="0" fontId="0" fillId="23" borderId="8" xfId="0" applyFont="1" applyFill="1" applyBorder="1" applyAlignment="1">
      <alignment horizontal="center" vertical="center" wrapText="1"/>
    </xf>
    <xf numFmtId="0" fontId="7" fillId="8" borderId="8" xfId="0" applyFont="1" applyFill="1" applyBorder="1" applyAlignment="1">
      <alignment horizontal="center" vertical="center" wrapText="1"/>
    </xf>
    <xf numFmtId="0" fontId="6" fillId="8" borderId="8" xfId="0" applyFont="1" applyFill="1" applyBorder="1" applyAlignment="1">
      <alignment horizontal="center" vertical="center" wrapText="1"/>
    </xf>
    <xf numFmtId="164" fontId="0" fillId="32" borderId="11" xfId="0" applyNumberFormat="1" applyFont="1" applyFill="1" applyBorder="1" applyAlignment="1">
      <alignment horizontal="center" vertical="center"/>
    </xf>
    <xf numFmtId="1" fontId="35" fillId="32" borderId="8" xfId="0" applyNumberFormat="1" applyFont="1" applyFill="1" applyBorder="1" applyAlignment="1">
      <alignment horizontal="center" vertical="center"/>
    </xf>
    <xf numFmtId="1" fontId="6" fillId="32" borderId="8" xfId="0" applyNumberFormat="1" applyFont="1" applyFill="1" applyBorder="1" applyAlignment="1">
      <alignment horizontal="center" vertical="center"/>
    </xf>
    <xf numFmtId="164" fontId="9" fillId="0" borderId="13" xfId="0" applyNumberFormat="1" applyFont="1" applyBorder="1" applyAlignment="1">
      <alignment horizontal="center" vertical="center"/>
    </xf>
    <xf numFmtId="164" fontId="0" fillId="32" borderId="12" xfId="0" applyNumberFormat="1" applyFont="1" applyFill="1" applyBorder="1" applyAlignment="1">
      <alignment horizontal="center" vertical="center"/>
    </xf>
    <xf numFmtId="176" fontId="0" fillId="32" borderId="8" xfId="0" applyNumberFormat="1" applyFont="1" applyFill="1" applyBorder="1" applyAlignment="1">
      <alignment horizontal="center" vertical="center"/>
    </xf>
    <xf numFmtId="164" fontId="9" fillId="8" borderId="11" xfId="1" applyNumberFormat="1" applyFont="1" applyFill="1" applyBorder="1" applyAlignment="1">
      <alignment horizontal="center" vertical="center"/>
    </xf>
    <xf numFmtId="169" fontId="9" fillId="8" borderId="11" xfId="1" applyNumberFormat="1" applyFont="1" applyFill="1" applyBorder="1" applyAlignment="1">
      <alignment horizontal="center" vertical="center"/>
    </xf>
    <xf numFmtId="164" fontId="8" fillId="33" borderId="29" xfId="1" applyNumberFormat="1" applyFont="1" applyFill="1" applyBorder="1" applyAlignment="1">
      <alignment horizontal="center" vertical="center"/>
    </xf>
    <xf numFmtId="169" fontId="9" fillId="8" borderId="29" xfId="1" applyNumberFormat="1" applyFont="1" applyFill="1" applyBorder="1" applyAlignment="1">
      <alignment horizontal="center" vertical="center"/>
    </xf>
    <xf numFmtId="0" fontId="9" fillId="0" borderId="13" xfId="0" applyNumberFormat="1" applyFont="1" applyBorder="1" applyAlignment="1">
      <alignment horizontal="center" vertical="center"/>
    </xf>
    <xf numFmtId="43" fontId="5" fillId="17" borderId="8" xfId="3" applyNumberFormat="1" applyFont="1" applyFill="1" applyBorder="1" applyAlignment="1">
      <alignment horizontal="center" vertical="center" wrapText="1"/>
    </xf>
    <xf numFmtId="3" fontId="0" fillId="23" borderId="8" xfId="0" applyNumberFormat="1" applyFont="1" applyFill="1" applyBorder="1" applyAlignment="1">
      <alignment horizontal="center" vertical="center" wrapText="1"/>
    </xf>
    <xf numFmtId="0" fontId="0" fillId="23" borderId="12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wrapText="1"/>
    </xf>
    <xf numFmtId="0" fontId="13" fillId="0" borderId="0" xfId="0" applyFont="1" applyAlignment="1">
      <alignment horizontal="center" vertical="center" wrapText="1"/>
    </xf>
    <xf numFmtId="43" fontId="8" fillId="32" borderId="1" xfId="3" applyNumberFormat="1" applyFont="1" applyFill="1" applyBorder="1" applyAlignment="1">
      <alignment horizontal="center" vertical="center" wrapText="1"/>
    </xf>
    <xf numFmtId="14" fontId="8" fillId="32" borderId="1" xfId="3" applyNumberFormat="1" applyFont="1" applyFill="1" applyBorder="1" applyAlignment="1">
      <alignment horizontal="center" vertical="center" wrapText="1"/>
    </xf>
    <xf numFmtId="164" fontId="36" fillId="12" borderId="11" xfId="10" applyNumberFormat="1" applyFont="1" applyFill="1" applyBorder="1" applyAlignment="1">
      <alignment horizontal="center" vertical="center" wrapText="1"/>
    </xf>
    <xf numFmtId="165" fontId="9" fillId="11" borderId="1" xfId="0" applyNumberFormat="1" applyFont="1" applyFill="1" applyBorder="1" applyAlignment="1">
      <alignment horizontal="center" vertical="center"/>
    </xf>
    <xf numFmtId="3" fontId="31" fillId="34" borderId="0" xfId="10" applyNumberFormat="1" applyFont="1" applyFill="1" applyAlignment="1">
      <alignment horizontal="center" vertical="center" wrapText="1"/>
    </xf>
    <xf numFmtId="3" fontId="0" fillId="44" borderId="8" xfId="0" applyNumberFormat="1" applyFont="1" applyFill="1" applyBorder="1" applyAlignment="1">
      <alignment horizontal="center" vertical="center"/>
    </xf>
    <xf numFmtId="3" fontId="0" fillId="0" borderId="0" xfId="0" applyNumberFormat="1" applyFont="1" applyAlignment="1">
      <alignment horizontal="center"/>
    </xf>
    <xf numFmtId="3" fontId="5" fillId="8" borderId="0" xfId="0" applyNumberFormat="1" applyFont="1" applyFill="1" applyAlignment="1">
      <alignment horizontal="center" vertical="center" wrapText="1"/>
    </xf>
    <xf numFmtId="3" fontId="13" fillId="0" borderId="0" xfId="0" applyNumberFormat="1" applyFont="1" applyAlignment="1">
      <alignment horizontal="center" vertical="center"/>
    </xf>
    <xf numFmtId="14" fontId="8" fillId="9" borderId="1" xfId="3" applyNumberFormat="1" applyFont="1" applyFill="1" applyBorder="1" applyAlignment="1">
      <alignment horizontal="center" vertical="center" wrapText="1"/>
    </xf>
    <xf numFmtId="166" fontId="0" fillId="10" borderId="1" xfId="0" applyNumberFormat="1" applyFont="1" applyFill="1" applyBorder="1" applyAlignment="1">
      <alignment horizontal="center" vertical="center"/>
    </xf>
    <xf numFmtId="3" fontId="0" fillId="53" borderId="8" xfId="0" applyNumberFormat="1" applyFont="1" applyFill="1" applyBorder="1" applyAlignment="1">
      <alignment horizontal="center" vertical="center" wrapText="1"/>
    </xf>
    <xf numFmtId="164" fontId="8" fillId="33" borderId="16" xfId="1" applyNumberFormat="1" applyFont="1" applyFill="1" applyBorder="1" applyAlignment="1">
      <alignment horizontal="center" vertical="center" wrapText="1"/>
    </xf>
    <xf numFmtId="164" fontId="8" fillId="32" borderId="11" xfId="1" applyNumberFormat="1" applyFont="1" applyFill="1" applyBorder="1" applyAlignment="1">
      <alignment horizontal="center" vertical="center"/>
    </xf>
    <xf numFmtId="0" fontId="8" fillId="32" borderId="13" xfId="1" applyNumberFormat="1" applyFont="1" applyFill="1" applyBorder="1" applyAlignment="1">
      <alignment horizontal="center" vertical="center" wrapText="1"/>
    </xf>
    <xf numFmtId="1" fontId="30" fillId="2" borderId="8" xfId="3" applyNumberFormat="1" applyFont="1" applyBorder="1" applyAlignment="1">
      <alignment horizontal="center" vertical="center" wrapText="1"/>
    </xf>
    <xf numFmtId="1" fontId="8" fillId="8" borderId="0" xfId="3" applyNumberFormat="1" applyFont="1" applyFill="1" applyBorder="1" applyAlignment="1">
      <alignment horizontal="center"/>
    </xf>
    <xf numFmtId="1" fontId="8" fillId="0" borderId="0" xfId="0" applyNumberFormat="1" applyFont="1" applyBorder="1" applyAlignment="1">
      <alignment horizontal="center"/>
    </xf>
    <xf numFmtId="1" fontId="8" fillId="0" borderId="0" xfId="0" applyNumberFormat="1" applyFont="1" applyAlignment="1">
      <alignment horizontal="center"/>
    </xf>
    <xf numFmtId="1" fontId="8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2" fontId="8" fillId="2" borderId="8" xfId="3" applyNumberFormat="1" applyFont="1" applyBorder="1" applyAlignment="1">
      <alignment horizontal="center" vertical="center" wrapText="1"/>
    </xf>
    <xf numFmtId="2" fontId="8" fillId="32" borderId="8" xfId="3" applyNumberFormat="1" applyFont="1" applyFill="1" applyBorder="1" applyAlignment="1">
      <alignment horizontal="center" vertical="center" wrapText="1"/>
    </xf>
    <xf numFmtId="166" fontId="8" fillId="15" borderId="1" xfId="1" applyNumberFormat="1" applyFont="1" applyFill="1" applyBorder="1" applyAlignment="1">
      <alignment horizontal="center" vertical="center" wrapText="1"/>
    </xf>
    <xf numFmtId="14" fontId="0" fillId="8" borderId="8" xfId="0" applyNumberFormat="1" applyFont="1" applyFill="1" applyBorder="1" applyAlignment="1">
      <alignment horizontal="center" vertical="center" wrapText="1"/>
    </xf>
    <xf numFmtId="165" fontId="7" fillId="11" borderId="1" xfId="0" applyNumberFormat="1" applyFont="1" applyFill="1" applyBorder="1" applyAlignment="1">
      <alignment horizontal="center" vertical="center"/>
    </xf>
    <xf numFmtId="164" fontId="9" fillId="8" borderId="30" xfId="1" applyNumberFormat="1" applyFont="1" applyFill="1" applyBorder="1" applyAlignment="1">
      <alignment horizontal="center" vertical="center"/>
    </xf>
    <xf numFmtId="164" fontId="0" fillId="32" borderId="11" xfId="1" applyNumberFormat="1" applyFont="1" applyFill="1" applyBorder="1" applyAlignment="1">
      <alignment horizontal="center" vertical="center"/>
    </xf>
    <xf numFmtId="164" fontId="9" fillId="0" borderId="16" xfId="1" applyNumberFormat="1" applyFont="1" applyFill="1" applyBorder="1" applyAlignment="1">
      <alignment horizontal="center" vertical="center"/>
    </xf>
    <xf numFmtId="0" fontId="9" fillId="0" borderId="13" xfId="1" applyNumberFormat="1" applyFont="1" applyFill="1" applyBorder="1" applyAlignment="1">
      <alignment horizontal="center" vertical="center"/>
    </xf>
    <xf numFmtId="164" fontId="36" fillId="12" borderId="8" xfId="10" applyNumberFormat="1" applyFont="1" applyFill="1" applyBorder="1" applyAlignment="1">
      <alignment horizontal="center" vertical="center" wrapText="1"/>
    </xf>
    <xf numFmtId="165" fontId="0" fillId="49" borderId="8" xfId="0" applyNumberFormat="1" applyFont="1" applyFill="1" applyBorder="1" applyAlignment="1">
      <alignment horizontal="center" vertical="center"/>
    </xf>
    <xf numFmtId="3" fontId="8" fillId="10" borderId="8" xfId="2" applyNumberFormat="1" applyFont="1" applyFill="1" applyBorder="1" applyAlignment="1">
      <alignment horizontal="center" vertical="center" wrapText="1"/>
    </xf>
    <xf numFmtId="193" fontId="0" fillId="12" borderId="8" xfId="0" applyNumberFormat="1" applyFont="1" applyFill="1" applyBorder="1" applyAlignment="1">
      <alignment horizontal="center" vertical="center"/>
    </xf>
    <xf numFmtId="164" fontId="0" fillId="32" borderId="29" xfId="0" applyNumberFormat="1" applyFont="1" applyFill="1" applyBorder="1" applyAlignment="1">
      <alignment horizontal="center" vertical="center"/>
    </xf>
    <xf numFmtId="164" fontId="0" fillId="32" borderId="29" xfId="1" applyNumberFormat="1" applyFont="1" applyFill="1" applyBorder="1" applyAlignment="1">
      <alignment horizontal="center" vertical="center"/>
    </xf>
    <xf numFmtId="164" fontId="8" fillId="33" borderId="29" xfId="0" applyNumberFormat="1" applyFont="1" applyFill="1" applyBorder="1" applyAlignment="1">
      <alignment horizontal="center" vertical="center"/>
    </xf>
    <xf numFmtId="164" fontId="8" fillId="33" borderId="29" xfId="1" applyNumberFormat="1" applyFont="1" applyFill="1" applyBorder="1" applyAlignment="1">
      <alignment horizontal="center" vertical="center" wrapText="1"/>
    </xf>
    <xf numFmtId="164" fontId="8" fillId="32" borderId="29" xfId="0" applyNumberFormat="1" applyFont="1" applyFill="1" applyBorder="1" applyAlignment="1">
      <alignment horizontal="center" vertical="center"/>
    </xf>
    <xf numFmtId="164" fontId="19" fillId="8" borderId="29" xfId="0" applyNumberFormat="1" applyFont="1" applyFill="1" applyBorder="1" applyAlignment="1">
      <alignment horizontal="center" vertical="center"/>
    </xf>
    <xf numFmtId="0" fontId="30" fillId="36" borderId="11" xfId="1" applyNumberFormat="1" applyFont="1" applyFill="1" applyBorder="1" applyAlignment="1">
      <alignment horizontal="center" vertical="center" wrapText="1"/>
    </xf>
    <xf numFmtId="164" fontId="8" fillId="32" borderId="11" xfId="1" applyNumberFormat="1" applyFont="1" applyFill="1" applyBorder="1" applyAlignment="1">
      <alignment horizontal="center" vertical="center" wrapText="1"/>
    </xf>
    <xf numFmtId="164" fontId="8" fillId="33" borderId="11" xfId="1" applyNumberFormat="1" applyFont="1" applyFill="1" applyBorder="1" applyAlignment="1">
      <alignment horizontal="center" vertical="center"/>
    </xf>
    <xf numFmtId="164" fontId="8" fillId="32" borderId="30" xfId="1" applyNumberFormat="1" applyFont="1" applyFill="1" applyBorder="1" applyAlignment="1">
      <alignment horizontal="center" vertical="center"/>
    </xf>
    <xf numFmtId="0" fontId="8" fillId="33" borderId="13" xfId="1" applyNumberFormat="1" applyFont="1" applyFill="1" applyBorder="1" applyAlignment="1">
      <alignment horizontal="center" vertical="center"/>
    </xf>
    <xf numFmtId="0" fontId="30" fillId="36" borderId="16" xfId="1" applyNumberFormat="1" applyFont="1" applyFill="1" applyBorder="1" applyAlignment="1">
      <alignment horizontal="center" vertical="center" wrapText="1"/>
    </xf>
    <xf numFmtId="164" fontId="8" fillId="32" borderId="16" xfId="1" applyNumberFormat="1" applyFont="1" applyFill="1" applyBorder="1" applyAlignment="1">
      <alignment horizontal="center" vertical="center" wrapText="1"/>
    </xf>
    <xf numFmtId="0" fontId="30" fillId="36" borderId="28" xfId="1" applyNumberFormat="1" applyFont="1" applyFill="1" applyBorder="1" applyAlignment="1">
      <alignment horizontal="center" vertical="center" wrapText="1"/>
    </xf>
    <xf numFmtId="164" fontId="19" fillId="8" borderId="11" xfId="0" applyNumberFormat="1" applyFont="1" applyFill="1" applyBorder="1" applyAlignment="1">
      <alignment horizontal="center" vertical="center"/>
    </xf>
    <xf numFmtId="169" fontId="9" fillId="8" borderId="31" xfId="1" applyNumberFormat="1" applyFont="1" applyFill="1" applyBorder="1" applyAlignment="1">
      <alignment horizontal="center" vertical="center"/>
    </xf>
    <xf numFmtId="164" fontId="8" fillId="42" borderId="1" xfId="6" applyNumberFormat="1" applyFont="1" applyFill="1" applyBorder="1" applyAlignment="1">
      <alignment horizontal="center" vertical="center"/>
    </xf>
    <xf numFmtId="43" fontId="8" fillId="39" borderId="8" xfId="3" applyNumberFormat="1" applyFont="1" applyFill="1" applyBorder="1" applyAlignment="1">
      <alignment horizontal="center" vertical="center" wrapText="1"/>
    </xf>
    <xf numFmtId="14" fontId="9" fillId="8" borderId="31" xfId="1" applyNumberFormat="1" applyFont="1" applyFill="1" applyBorder="1" applyAlignment="1">
      <alignment horizontal="center" vertical="center"/>
    </xf>
    <xf numFmtId="14" fontId="9" fillId="0" borderId="16" xfId="1" applyNumberFormat="1" applyFont="1" applyFill="1" applyBorder="1" applyAlignment="1">
      <alignment horizontal="center" vertical="center"/>
    </xf>
    <xf numFmtId="14" fontId="9" fillId="8" borderId="16" xfId="1" applyNumberFormat="1" applyFont="1" applyFill="1" applyBorder="1" applyAlignment="1">
      <alignment horizontal="center" vertical="center"/>
    </xf>
    <xf numFmtId="164" fontId="9" fillId="0" borderId="30" xfId="0" applyNumberFormat="1" applyFont="1" applyBorder="1" applyAlignment="1">
      <alignment horizontal="center" vertical="center"/>
    </xf>
    <xf numFmtId="164" fontId="8" fillId="33" borderId="30" xfId="1" applyNumberFormat="1" applyFont="1" applyFill="1" applyBorder="1" applyAlignment="1">
      <alignment horizontal="center" vertical="center" wrapText="1"/>
    </xf>
    <xf numFmtId="0" fontId="8" fillId="32" borderId="8" xfId="0" applyFont="1" applyFill="1" applyBorder="1" applyAlignment="1">
      <alignment horizontal="center" vertical="center" wrapText="1"/>
    </xf>
    <xf numFmtId="0" fontId="8" fillId="32" borderId="1" xfId="3" applyFont="1" applyFill="1" applyBorder="1" applyAlignment="1">
      <alignment horizontal="center" vertical="center" wrapText="1"/>
    </xf>
    <xf numFmtId="3" fontId="0" fillId="32" borderId="8" xfId="0" applyNumberFormat="1" applyFont="1" applyFill="1" applyBorder="1" applyAlignment="1">
      <alignment horizontal="center" vertical="center" wrapText="1"/>
    </xf>
    <xf numFmtId="1" fontId="0" fillId="9" borderId="1" xfId="2" applyNumberFormat="1" applyFont="1" applyFill="1" applyBorder="1" applyAlignment="1">
      <alignment horizontal="center" vertical="center"/>
    </xf>
    <xf numFmtId="164" fontId="8" fillId="33" borderId="31" xfId="1" applyNumberFormat="1" applyFont="1" applyFill="1" applyBorder="1" applyAlignment="1">
      <alignment horizontal="center" vertical="center" wrapText="1"/>
    </xf>
    <xf numFmtId="166" fontId="30" fillId="8" borderId="8" xfId="1" applyNumberFormat="1" applyFont="1" applyFill="1" applyBorder="1" applyAlignment="1">
      <alignment horizontal="center" vertical="center" wrapText="1"/>
    </xf>
    <xf numFmtId="166" fontId="8" fillId="8" borderId="8" xfId="1" applyNumberFormat="1" applyFont="1" applyFill="1" applyBorder="1" applyAlignment="1">
      <alignment horizontal="center" vertical="center"/>
    </xf>
    <xf numFmtId="166" fontId="8" fillId="0" borderId="0" xfId="1" applyNumberFormat="1" applyFont="1" applyBorder="1" applyAlignment="1">
      <alignment horizontal="center"/>
    </xf>
    <xf numFmtId="166" fontId="8" fillId="0" borderId="0" xfId="1" applyNumberFormat="1" applyFont="1" applyAlignment="1">
      <alignment horizontal="center"/>
    </xf>
    <xf numFmtId="166" fontId="8" fillId="0" borderId="0" xfId="1" applyNumberFormat="1" applyFont="1" applyAlignment="1">
      <alignment horizontal="center" vertical="center"/>
    </xf>
    <xf numFmtId="166" fontId="8" fillId="8" borderId="8" xfId="1" applyNumberFormat="1" applyFont="1" applyFill="1" applyBorder="1" applyAlignment="1">
      <alignment horizontal="center" vertical="center" wrapText="1"/>
    </xf>
    <xf numFmtId="166" fontId="1" fillId="0" borderId="0" xfId="1" applyNumberFormat="1" applyFont="1" applyAlignment="1">
      <alignment horizontal="center" vertical="center"/>
    </xf>
    <xf numFmtId="166" fontId="9" fillId="8" borderId="8" xfId="1" applyNumberFormat="1" applyFont="1" applyFill="1" applyBorder="1" applyAlignment="1">
      <alignment horizontal="center" vertical="center"/>
    </xf>
    <xf numFmtId="165" fontId="8" fillId="16" borderId="1" xfId="5" applyNumberFormat="1" applyFont="1" applyFill="1" applyBorder="1" applyAlignment="1">
      <alignment horizontal="center" vertical="center"/>
    </xf>
    <xf numFmtId="14" fontId="9" fillId="8" borderId="29" xfId="1" applyNumberFormat="1" applyFont="1" applyFill="1" applyBorder="1" applyAlignment="1">
      <alignment horizontal="center" vertical="center"/>
    </xf>
    <xf numFmtId="164" fontId="8" fillId="32" borderId="11" xfId="0" applyNumberFormat="1" applyFont="1" applyFill="1" applyBorder="1" applyAlignment="1">
      <alignment horizontal="center" vertical="center"/>
    </xf>
    <xf numFmtId="1" fontId="36" fillId="52" borderId="8" xfId="0" applyNumberFormat="1" applyFont="1" applyFill="1" applyBorder="1" applyAlignment="1">
      <alignment horizontal="center" vertical="center"/>
    </xf>
    <xf numFmtId="164" fontId="8" fillId="32" borderId="8" xfId="2" applyNumberFormat="1" applyFont="1" applyFill="1" applyBorder="1" applyAlignment="1">
      <alignment horizontal="center" vertical="center"/>
    </xf>
    <xf numFmtId="164" fontId="9" fillId="8" borderId="29" xfId="0" applyNumberFormat="1" applyFont="1" applyFill="1" applyBorder="1" applyAlignment="1">
      <alignment horizontal="center" vertical="center"/>
    </xf>
    <xf numFmtId="164" fontId="8" fillId="14" borderId="1" xfId="6" applyNumberFormat="1" applyFont="1" applyFill="1" applyBorder="1" applyAlignment="1">
      <alignment horizontal="center" vertical="center"/>
    </xf>
    <xf numFmtId="3" fontId="8" fillId="8" borderId="11" xfId="1" applyNumberFormat="1" applyFont="1" applyFill="1" applyBorder="1" applyAlignment="1">
      <alignment horizontal="center" vertical="center"/>
    </xf>
    <xf numFmtId="0" fontId="8" fillId="44" borderId="1" xfId="0" applyFont="1" applyFill="1" applyBorder="1" applyAlignment="1">
      <alignment horizontal="center" vertical="center"/>
    </xf>
    <xf numFmtId="41" fontId="9" fillId="8" borderId="8" xfId="0" applyNumberFormat="1" applyFont="1" applyFill="1" applyBorder="1" applyAlignment="1">
      <alignment horizontal="center" vertical="center"/>
    </xf>
    <xf numFmtId="0" fontId="8" fillId="38" borderId="1" xfId="7" applyFont="1" applyFill="1" applyBorder="1" applyAlignment="1">
      <alignment horizontal="center" vertical="center"/>
    </xf>
    <xf numFmtId="0" fontId="8" fillId="39" borderId="8" xfId="3" applyFont="1" applyFill="1" applyBorder="1" applyAlignment="1">
      <alignment horizontal="center" vertical="center" wrapText="1"/>
    </xf>
    <xf numFmtId="164" fontId="9" fillId="8" borderId="31" xfId="1" applyNumberFormat="1" applyFont="1" applyFill="1" applyBorder="1" applyAlignment="1">
      <alignment horizontal="center" vertical="center"/>
    </xf>
    <xf numFmtId="169" fontId="8" fillId="33" borderId="31" xfId="1" applyNumberFormat="1" applyFont="1" applyFill="1" applyBorder="1" applyAlignment="1">
      <alignment horizontal="center" vertical="center"/>
    </xf>
    <xf numFmtId="14" fontId="8" fillId="33" borderId="29" xfId="0" applyNumberFormat="1" applyFont="1" applyFill="1" applyBorder="1" applyAlignment="1">
      <alignment horizontal="center" vertical="center" wrapText="1"/>
    </xf>
    <xf numFmtId="164" fontId="8" fillId="33" borderId="31" xfId="1" applyNumberFormat="1" applyFont="1" applyFill="1" applyBorder="1" applyAlignment="1">
      <alignment horizontal="center" vertical="center"/>
    </xf>
    <xf numFmtId="164" fontId="8" fillId="33" borderId="30" xfId="1" applyNumberFormat="1" applyFont="1" applyFill="1" applyBorder="1" applyAlignment="1">
      <alignment horizontal="center" vertical="center"/>
    </xf>
    <xf numFmtId="164" fontId="0" fillId="32" borderId="30" xfId="1" applyNumberFormat="1" applyFont="1" applyFill="1" applyBorder="1" applyAlignment="1">
      <alignment horizontal="center" vertical="center"/>
    </xf>
    <xf numFmtId="3" fontId="33" fillId="23" borderId="12" xfId="10" applyNumberFormat="1" applyFont="1" applyFill="1" applyBorder="1" applyAlignment="1">
      <alignment horizontal="center" vertical="center" wrapText="1"/>
    </xf>
    <xf numFmtId="3" fontId="33" fillId="23" borderId="12" xfId="10" applyNumberFormat="1" applyFont="1" applyFill="1" applyBorder="1" applyAlignment="1">
      <alignment horizontal="right" vertical="center" wrapText="1"/>
    </xf>
    <xf numFmtId="43" fontId="0" fillId="10" borderId="8" xfId="1" applyFont="1" applyFill="1" applyBorder="1" applyAlignment="1">
      <alignment horizontal="center" vertical="center"/>
    </xf>
    <xf numFmtId="43" fontId="8" fillId="10" borderId="8" xfId="1" applyFont="1" applyFill="1" applyBorder="1" applyAlignment="1">
      <alignment horizontal="center" vertical="center"/>
    </xf>
    <xf numFmtId="43" fontId="0" fillId="14" borderId="8" xfId="1" applyFont="1" applyFill="1" applyBorder="1" applyAlignment="1">
      <alignment horizontal="center" vertical="center"/>
    </xf>
    <xf numFmtId="0" fontId="0" fillId="0" borderId="0" xfId="0" applyAlignment="1">
      <alignment horizontal="left" indent="4"/>
    </xf>
    <xf numFmtId="0" fontId="0" fillId="0" borderId="0" xfId="0" applyAlignment="1">
      <alignment horizontal="left" indent="5"/>
    </xf>
    <xf numFmtId="0" fontId="23" fillId="35" borderId="17" xfId="9" applyFont="1" applyFill="1" applyBorder="1" applyAlignment="1">
      <alignment horizontal="center" vertical="center"/>
    </xf>
    <xf numFmtId="0" fontId="23" fillId="35" borderId="4" xfId="9" applyFont="1" applyFill="1" applyBorder="1" applyAlignment="1">
      <alignment horizontal="center" vertical="center"/>
    </xf>
    <xf numFmtId="0" fontId="6" fillId="44" borderId="17" xfId="0" applyFont="1" applyFill="1" applyBorder="1" applyAlignment="1">
      <alignment horizontal="center" vertical="center" wrapText="1"/>
    </xf>
    <xf numFmtId="0" fontId="6" fillId="44" borderId="4" xfId="0" applyFont="1" applyFill="1" applyBorder="1" applyAlignment="1">
      <alignment horizontal="center" vertical="center" wrapText="1"/>
    </xf>
    <xf numFmtId="0" fontId="23" fillId="48" borderId="17" xfId="9" applyFont="1" applyFill="1" applyBorder="1" applyAlignment="1">
      <alignment horizontal="center" vertical="center"/>
    </xf>
    <xf numFmtId="0" fontId="23" fillId="48" borderId="4" xfId="9" applyFont="1" applyFill="1" applyBorder="1" applyAlignment="1">
      <alignment horizontal="center" vertical="center"/>
    </xf>
    <xf numFmtId="0" fontId="23" fillId="46" borderId="17" xfId="9" applyFont="1" applyFill="1" applyBorder="1" applyAlignment="1">
      <alignment horizontal="center" vertical="center"/>
    </xf>
    <xf numFmtId="0" fontId="23" fillId="46" borderId="4" xfId="9" applyFont="1" applyFill="1" applyBorder="1" applyAlignment="1">
      <alignment horizontal="center" vertical="center"/>
    </xf>
    <xf numFmtId="0" fontId="23" fillId="47" borderId="17" xfId="9" applyFont="1" applyFill="1" applyBorder="1" applyAlignment="1">
      <alignment horizontal="center" vertical="center"/>
    </xf>
    <xf numFmtId="0" fontId="23" fillId="47" borderId="4" xfId="9" applyFont="1" applyFill="1" applyBorder="1" applyAlignment="1">
      <alignment horizontal="center" vertical="center"/>
    </xf>
    <xf numFmtId="0" fontId="23" fillId="38" borderId="17" xfId="9" applyFont="1" applyFill="1" applyBorder="1" applyAlignment="1">
      <alignment horizontal="center" vertical="center"/>
    </xf>
    <xf numFmtId="0" fontId="23" fillId="38" borderId="4" xfId="9" applyFont="1" applyFill="1" applyBorder="1" applyAlignment="1">
      <alignment horizontal="center" vertical="center"/>
    </xf>
  </cellXfs>
  <cellStyles count="19">
    <cellStyle name="40 % - Accent2" xfId="6" builtinId="35"/>
    <cellStyle name="60 % - Accent1" xfId="5" builtinId="32"/>
    <cellStyle name="60 % - Accent2" xfId="7" builtinId="36"/>
    <cellStyle name="60 % - Accent3" xfId="8" builtinId="40"/>
    <cellStyle name="Excel Built-in RowLevel_0" xfId="16"/>
    <cellStyle name="Excel_BuiltIn_RowLevel_1" xfId="18"/>
    <cellStyle name="Milliers" xfId="1" builtinId="3"/>
    <cellStyle name="Milliers 2" xfId="11"/>
    <cellStyle name="Neutre" xfId="4" builtinId="28"/>
    <cellStyle name="NiveauLigne_8" xfId="17"/>
    <cellStyle name="Normal" xfId="0" builtinId="0"/>
    <cellStyle name="Normal 2" xfId="10"/>
    <cellStyle name="Normal 3" xfId="13"/>
    <cellStyle name="Normal 4" xfId="14"/>
    <cellStyle name="Normal_Liste programmation logts PCA NBL v2014" xfId="9"/>
    <cellStyle name="Normal_Prévisionnel HONO PAC 2012 V4 fev 2012" xfId="12"/>
    <cellStyle name="Pourcentage" xfId="2" builtinId="5"/>
    <cellStyle name="Pourcentage 2" xfId="15"/>
    <cellStyle name="Satisfaisant" xfId="3" builtinId="26"/>
  </cellStyles>
  <dxfs count="40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006600"/>
      <color rgb="FF08E61D"/>
      <color rgb="FFFF0066"/>
      <color rgb="FF0099FF"/>
      <color rgb="FFFF5050"/>
      <color rgb="FFFFFF99"/>
      <color rgb="FFDA464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initiales'!$B$152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initiales'!$C$152:$N$152</c15:sqref>
                        </c15:fullRef>
                        <c15:formulaRef>
                          <c15:sqref>('Données initiales'!$C$152,'Données initiales'!$E$152,'Données initiales'!$G$152,'Données initiales'!$I$152,'Données initiales'!$K$152,'Données initiales'!$M$152)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3</c:v>
                      </c:pt>
                      <c:pt idx="2" formatCode="General">
                        <c:v>1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1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13E-88BA-49B1-9CE7-0FE5B6F55D49}"/>
                  </c:ext>
                  <c:ext uri="{02D57815-91ED-43cb-92C2-25804820EDAC}">
                    <c15:categoryFilterExceptions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0152296587926499"/>
          <c:y val="0.22416484397783609"/>
          <c:w val="0.28181036745406823"/>
          <c:h val="0.5706051326917468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initiales'!$B$152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initiales'!$C$152:$N$152</c15:sqref>
                        </c15:fullRef>
                        <c15:formulaRef>
                          <c15:sqref>('Données initiales'!$C$152,'Données initiales'!$E$152,'Données initiales'!$G$152,'Données initiales'!$I$152,'Données initiales'!$K$152,'Données initiales'!$M$152)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3</c:v>
                      </c:pt>
                      <c:pt idx="2" formatCode="General">
                        <c:v>1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1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D743-485C-85A8-46AAD4F995FD}"/>
                  </c:ext>
                  <c:ext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initiales'!$B$153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rgbClr val="0099FF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initiales'!$C$153:$N$153</c15:sqref>
                        </c15:fullRef>
                        <c15:formulaRef>
                          <c15:sqref>('Données initiales'!$C$153,'Données initiales'!$E$153,'Données initiales'!$G$153,'Données initiales'!$I$153,'Données initiales'!$K$153,'Données initiales'!$M$153)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4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142-D743-485C-85A8-46AAD4F995FD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6870628263447418"/>
          <c:y val="0.23119044358587379"/>
          <c:w val="0.3146530017710788"/>
          <c:h val="0.5609757595706680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initiales'!$B$152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initiales'!$C$152:$N$152</c15:sqref>
                        </c15:fullRef>
                        <c15:formulaRef>
                          <c15:sqref>('Données initiales'!$C$152,'Données initiales'!$E$152,'Données initiales'!$G$152,'Données initiales'!$I$152,'Données initiales'!$K$152,'Données initiales'!$M$152)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3</c:v>
                      </c:pt>
                      <c:pt idx="2" formatCode="General">
                        <c:v>1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1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9D65-47E6-A29B-84F0AE2A7889}"/>
                  </c:ext>
                  <c:ext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initiales'!$B$153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initiales'!$C$153:$N$153</c15:sqref>
                        </c15:fullRef>
                        <c15:formulaRef>
                          <c15:sqref>('Données initiales'!$C$153,'Données initiales'!$E$153,'Données initiales'!$G$153,'Données initiales'!$I$153,'Données initiales'!$K$153,'Données initiales'!$M$153)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4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3C8-9D65-47E6-A29B-84F0AE2A7889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initiales'!$B$154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initiales'!$C$154:$N$154</c15:sqref>
                        </c15:fullRef>
                        <c15:formulaRef>
                          <c15:sqref>('Données initiales'!$C$154,'Données initiales'!$E$154,'Données initiales'!$G$154,'Données initiales'!$I$154,'Données initiales'!$K$154,'Données initiales'!$M$154)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142-9D65-47E6-A29B-84F0AE2A7889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initiales'!$B$152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initiales'!$C$152:$N$152</c15:sqref>
                        </c15:fullRef>
                        <c15:formulaRef>
                          <c15:sqref>('Données initiales'!$C$152,'Données initiales'!$E$152,'Données initiales'!$G$152,'Données initiales'!$I$152,'Données initiales'!$K$152,'Données initiales'!$M$152)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3</c:v>
                      </c:pt>
                      <c:pt idx="2" formatCode="General">
                        <c:v>1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1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75A9-4F0F-A781-AA62B7A4A083}"/>
                  </c:ext>
                  <c:ext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initiales'!$B$153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initiales'!$C$153:$N$153</c15:sqref>
                        </c15:fullRef>
                        <c15:formulaRef>
                          <c15:sqref>('Données initiales'!$C$153,'Données initiales'!$E$153,'Données initiales'!$G$153,'Données initiales'!$I$153,'Données initiales'!$K$153,'Données initiales'!$M$153)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4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3C8-75A9-4F0F-A781-AA62B7A4A083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initiales'!$B$154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initiales'!$C$154:$N$154</c15:sqref>
                        </c15:fullRef>
                        <c15:formulaRef>
                          <c15:sqref>('Données initiales'!$C$154,'Données initiales'!$E$154,'Données initiales'!$G$154,'Données initiales'!$I$154,'Données initiales'!$K$154,'Données initiales'!$M$154)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50B-75A9-4F0F-A781-AA62B7A4A083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initiales'!$B$155</c15:sqref>
                        </c15:formulaRef>
                      </c:ext>
                    </c:extLst>
                    <c:strCache>
                      <c:ptCount val="1"/>
                      <c:pt idx="0">
                        <c:v>RTA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0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142-75A9-4F0F-A781-AA62B7A4A083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initiales'!$B$152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initiales'!$C$152:$N$152</c15:sqref>
                        </c15:fullRef>
                        <c15:formulaRef>
                          <c15:sqref>('Données initiales'!$C$152,'Données initiales'!$E$152,'Données initiales'!$G$152,'Données initiales'!$I$152,'Données initiales'!$K$152,'Données initiales'!$M$152)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3</c:v>
                      </c:pt>
                      <c:pt idx="2" formatCode="General">
                        <c:v>1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1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7EDA-4BDF-B4D6-AED2B07C434D}"/>
                  </c:ext>
                  <c:ext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initiales'!$B$153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initiales'!$C$153:$N$153</c15:sqref>
                        </c15:fullRef>
                        <c15:formulaRef>
                          <c15:sqref>('Données initiales'!$C$153,'Données initiales'!$E$153,'Données initiales'!$G$153,'Données initiales'!$I$153,'Données initiales'!$K$153,'Données initiales'!$M$153)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4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3C8-7EDA-4BDF-B4D6-AED2B07C434D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initiales'!$B$154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initiales'!$C$154:$N$154</c15:sqref>
                        </c15:fullRef>
                        <c15:formulaRef>
                          <c15:sqref>('Données initiales'!$C$154,'Données initiales'!$E$154,'Données initiales'!$G$154,'Données initiales'!$I$154,'Données initiales'!$K$154,'Données initiales'!$M$154)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50B-7EDA-4BDF-B4D6-AED2B07C434D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initiales'!$B$155</c15:sqref>
                        </c15:formulaRef>
                      </c:ext>
                    </c:extLst>
                    <c:strCache>
                      <c:ptCount val="1"/>
                      <c:pt idx="0">
                        <c:v>RTA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0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64E-7EDA-4BDF-B4D6-AED2B07C434D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NLE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5</c:v>
                      </c:pt>
                      <c:pt idx="1" formatCode="General">
                        <c:v>3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142-7EDA-4BDF-B4D6-AED2B07C434D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initiales'!$B$152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initiales'!$C$152:$N$152</c15:sqref>
                        </c15:fullRef>
                        <c15:formulaRef>
                          <c15:sqref>('Données initiales'!$C$152,'Données initiales'!$E$152,'Données initiales'!$G$152,'Données initiales'!$I$152,'Données initiales'!$K$152,'Données initiales'!$M$152)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3</c:v>
                      </c:pt>
                      <c:pt idx="2" formatCode="General">
                        <c:v>1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1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DB9F-452A-82DA-49E825A71C5F}"/>
                  </c:ext>
                  <c:ext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initiales'!$B$153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initiales'!$C$153:$N$153</c15:sqref>
                        </c15:fullRef>
                        <c15:formulaRef>
                          <c15:sqref>('Données initiales'!$C$153,'Données initiales'!$E$153,'Données initiales'!$G$153,'Données initiales'!$I$153,'Données initiales'!$K$153,'Données initiales'!$M$153)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4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3C8-DB9F-452A-82DA-49E825A71C5F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initiales'!$B$154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initiales'!$C$154:$N$154</c15:sqref>
                        </c15:fullRef>
                        <c15:formulaRef>
                          <c15:sqref>('Données initiales'!$C$154,'Données initiales'!$E$154,'Données initiales'!$G$154,'Données initiales'!$I$154,'Données initiales'!$K$154,'Données initiales'!$M$154)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50B-DB9F-452A-82DA-49E825A71C5F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initiales'!$B$155</c15:sqref>
                        </c15:formulaRef>
                      </c:ext>
                    </c:extLst>
                    <c:strCache>
                      <c:ptCount val="1"/>
                      <c:pt idx="0">
                        <c:v>RTA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0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64E-DB9F-452A-82DA-49E825A71C5F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NLE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5</c:v>
                      </c:pt>
                      <c:pt idx="1" formatCode="General">
                        <c:v>3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791-DB9F-452A-82DA-49E825A71C5F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5"/>
                <c:order val="5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initiales'!$B$157</c15:sqref>
                        </c15:formulaRef>
                      </c:ext>
                    </c:extLst>
                    <c:strCache>
                      <c:ptCount val="1"/>
                      <c:pt idx="0">
                        <c:v>GGO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initiales'!$C$157:$N$157</c15:sqref>
                        </c15:fullRef>
                        <c15:formulaRef>
                          <c15:sqref>('Données initiales'!$C$157,'Données initiales'!$E$157,'Données initiales'!$G$157,'Données initiales'!$I$157,'Données initiales'!$K$157,'Données initiales'!$M$157)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2</c:v>
                      </c:pt>
                      <c:pt idx="1" formatCode="General">
                        <c:v>2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3</c:v>
                      </c:pt>
                      <c:pt idx="5" formatCode="General">
                        <c:v>1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142-DB9F-452A-82DA-49E825A71C5F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extLst xmlns:c16r2="http://schemas.microsoft.com/office/drawing/2015/06/chart">
          <c:ext xmlns:c15="http://schemas.microsoft.com/office/drawing/2012/chart" uri="{02D57815-91ED-43cb-92C2-25804820EDAC}">
            <c15:filteredPieSeries>
              <c15:ser>
                <c:idx val="0"/>
                <c:order val="0"/>
                <c:tx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'Données initiales'!$B$152</c15:sqref>
                        </c15:formulaRef>
                      </c:ext>
                    </c:extLst>
                    <c:strCache>
                      <c:ptCount val="1"/>
                      <c:pt idx="0">
                        <c:v>DBE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6r2="http://schemas.microsoft.com/office/drawing/2015/06/chart">
                    <c:ext uri="{CE6537A1-D6FC-4f65-9D91-7224C49458BB}"/>
                  </c:extLst>
                </c:dLbls>
                <c:cat>
                  <c:strRef>
                    <c:extLst>
                      <c:ext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'Données initiales'!$C$152:$N$152</c15:sqref>
                        </c15:fullRef>
                        <c15:formulaRef>
                          <c15:sqref>('Données initiales'!$C$152,'Données initiales'!$E$152,'Données initiales'!$G$152,'Données initiales'!$I$152,'Données initiales'!$K$152,'Données initiales'!$M$152)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1</c:v>
                      </c:pt>
                      <c:pt idx="1" formatCode="General">
                        <c:v>3</c:v>
                      </c:pt>
                      <c:pt idx="2" formatCode="General">
                        <c:v>1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1</c:v>
                      </c:pt>
                    </c:numCache>
                  </c:numRef>
                </c:val>
                <c:extLst xmlns:c16r2="http://schemas.microsoft.com/office/drawing/2015/06/chart">
                  <c:ext xmlns:c16="http://schemas.microsoft.com/office/drawing/2014/chart" uri="{C3380CC4-5D6E-409C-BE32-E72D297353CC}">
                    <c16:uniqueId val="{00000285-834F-4CA6-9848-E201B4DA109F}"/>
                  </c:ext>
                  <c:ext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1"/>
                <c:order val="1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initiales'!$B$153</c15:sqref>
                        </c15:formulaRef>
                      </c:ext>
                    </c:extLst>
                    <c:strCache>
                      <c:ptCount val="1"/>
                      <c:pt idx="0">
                        <c:v>EGI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initiales'!$C$153:$N$153</c15:sqref>
                        </c15:fullRef>
                        <c15:formulaRef>
                          <c15:sqref>('Données initiales'!$C$153,'Données initiales'!$E$153,'Données initiales'!$G$153,'Données initiales'!$I$153,'Données initiales'!$K$153,'Données initiales'!$M$153)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4</c:v>
                      </c:pt>
                      <c:pt idx="1" formatCode="General">
                        <c:v>4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3C8-834F-4CA6-9848-E201B4DA109F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2"/>
                <c:order val="2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initiales'!$B$154</c15:sqref>
                        </c15:formulaRef>
                      </c:ext>
                    </c:extLst>
                    <c:strCache>
                      <c:ptCount val="1"/>
                      <c:pt idx="0">
                        <c:v>MMA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initiales'!$C$154:$N$154</c15:sqref>
                        </c15:fullRef>
                        <c15:formulaRef>
                          <c15:sqref>('Données initiales'!$C$154,'Données initiales'!$E$154,'Données initiales'!$G$154,'Données initiales'!$I$154,'Données initiales'!$K$154,'Données initiales'!$M$154)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50B-834F-4CA6-9848-E201B4DA109F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3"/>
                <c:order val="3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initiales'!$B$155</c15:sqref>
                        </c15:formulaRef>
                      </c:ext>
                    </c:extLst>
                    <c:strCache>
                      <c:ptCount val="1"/>
                      <c:pt idx="0">
                        <c:v>RTA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initiales'!$C$155:$N$155</c15:sqref>
                        </c15:fullRef>
                        <c15:formulaRef>
                          <c15:sqref>('Données initiales'!$C$155,'Données initiales'!$E$155,'Données initiales'!$G$155,'Données initiales'!$I$155,'Données initiales'!$K$155,'Données initiales'!$M$155)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0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64E-834F-4CA6-9848-E201B4DA109F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4"/>
                <c:order val="4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initiales'!$B$156</c15:sqref>
                        </c15:formulaRef>
                      </c:ext>
                    </c:extLst>
                    <c:strCache>
                      <c:ptCount val="1"/>
                      <c:pt idx="0">
                        <c:v>NLE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initiales'!$C$156:$N$156</c15:sqref>
                        </c15:fullRef>
                        <c15:formulaRef>
                          <c15:sqref>('Données initiales'!$C$156,'Données initiales'!$E$156,'Données initiales'!$G$156,'Données initiales'!$I$156,'Données initiales'!$K$156,'Données initiales'!$M$156)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5</c:v>
                      </c:pt>
                      <c:pt idx="1" formatCode="General">
                        <c:v>3</c:v>
                      </c:pt>
                      <c:pt idx="2" formatCode="General">
                        <c:v>0</c:v>
                      </c:pt>
                      <c:pt idx="3" formatCode="General">
                        <c:v>0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791-834F-4CA6-9848-E201B4DA109F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5"/>
                <c:order val="5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initiales'!$B$157</c15:sqref>
                        </c15:formulaRef>
                      </c:ext>
                    </c:extLst>
                    <c:strCache>
                      <c:ptCount val="1"/>
                      <c:pt idx="0">
                        <c:v>GGO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initiales'!$C$157:$N$157</c15:sqref>
                        </c15:fullRef>
                        <c15:formulaRef>
                          <c15:sqref>('Données initiales'!$C$157,'Données initiales'!$E$157,'Données initiales'!$G$157,'Données initiales'!$I$157,'Données initiales'!$K$157,'Données initiales'!$M$157)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2</c:v>
                      </c:pt>
                      <c:pt idx="1" formatCode="General">
                        <c:v>2</c:v>
                      </c:pt>
                      <c:pt idx="2" formatCode="General">
                        <c:v>0</c:v>
                      </c:pt>
                      <c:pt idx="3" formatCode="General">
                        <c:v>2</c:v>
                      </c:pt>
                      <c:pt idx="4" formatCode="General">
                        <c:v>3</c:v>
                      </c:pt>
                      <c:pt idx="5" formatCode="General">
                        <c:v>1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8D4-834F-4CA6-9848-E201B4DA109F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6"/>
                <c:order val="6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initiales'!$B$158</c15:sqref>
                        </c15:formulaRef>
                      </c:ext>
                    </c:extLst>
                    <c:strCache>
                      <c:ptCount val="1"/>
                      <c:pt idx="0">
                        <c:v>SRI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initiales'!$C$158:$N$158</c15:sqref>
                        </c15:fullRef>
                        <c15:formulaRef>
                          <c15:sqref>('Données initiales'!$C$158,'Données initiales'!$E$158,'Données initiales'!$G$158,'Données initiales'!$I$158,'Données initiales'!$K$158,'Données initiales'!$M$158)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1</c:v>
                      </c:pt>
                      <c:pt idx="2" formatCode="General">
                        <c:v>0</c:v>
                      </c:pt>
                      <c:pt idx="3" formatCode="General">
                        <c:v>1</c:v>
                      </c:pt>
                      <c:pt idx="4" formatCode="General">
                        <c:v>1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A17-834F-4CA6-9848-E201B4DA109F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  <c15:filteredPieSeries>
              <c15:ser>
                <c:idx val="7"/>
                <c:order val="7"/>
                <c:tx>
                  <c:strRef>
                    <c:extLst xmlns:c15="http://schemas.microsoft.com/office/drawing/2012/chart" xmlns:c16r2="http://schemas.microsoft.com/office/drawing/2015/06/chart">
                      <c:ext xmlns:c15="http://schemas.microsoft.com/office/drawing/2012/chart" uri="{02D57815-91ED-43cb-92C2-25804820EDAC}">
                        <c15:formulaRef>
                          <c15:sqref>'Données initiales'!$B$159</c15:sqref>
                        </c15:formulaRef>
                      </c:ext>
                    </c:extLst>
                    <c:strCache>
                      <c:ptCount val="1"/>
                      <c:pt idx="0">
                        <c:v>VAF</c:v>
                      </c:pt>
                    </c:strCache>
                  </c:strRef>
                </c:tx>
                <c:dPt>
                  <c:idx val="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9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0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1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2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3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4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5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6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7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8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39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0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1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2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3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4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5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6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7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8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49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0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1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2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3"/>
                  <c:bubble3D val="0"/>
                  <c:spPr>
                    <a:solidFill>
                      <a:srgbClr val="92D05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4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5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6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7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8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59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0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2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3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4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5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6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7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8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69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0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1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2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3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4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5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6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7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8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79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0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1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2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3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4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5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6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7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8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89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0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1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2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3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4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5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6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7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8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99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0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1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2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3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4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5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6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7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8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09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0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1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2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3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4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5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6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7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8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19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0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1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2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3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4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5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6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7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8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29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0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1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2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3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4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5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6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7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8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39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0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1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2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3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4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5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6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7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8"/>
                  <c:bubble3D val="0"/>
                  <c:spPr>
                    <a:solidFill>
                      <a:srgbClr val="08E61D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49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0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1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2"/>
                  <c:bubble3D val="0"/>
                  <c:spPr>
                    <a:solidFill>
                      <a:schemeClr val="accent4">
                        <a:lumMod val="40000"/>
                        <a:lumOff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3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4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5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6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7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8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59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0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1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2"/>
                  <c:bubble3D val="0"/>
                  <c:spPr>
                    <a:solidFill>
                      <a:srgbClr val="FF006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3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4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5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6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7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8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69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1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2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3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4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5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6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7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8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79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0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1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2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3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4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5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6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7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8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89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0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1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2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3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4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5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6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7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8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199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0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1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2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3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4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5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6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7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8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09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0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1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2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3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4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5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6"/>
                  <c:bubble3D val="0"/>
                  <c:spPr>
                    <a:solidFill>
                      <a:schemeClr val="accent1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7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8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19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0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1"/>
                  <c:bubble3D val="0"/>
                  <c:spPr>
                    <a:solidFill>
                      <a:schemeClr val="accent6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2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3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4"/>
                  <c:bubble3D val="0"/>
                  <c:spPr>
                    <a:solidFill>
                      <a:schemeClr val="accent3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5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6"/>
                  <c:bubble3D val="0"/>
                  <c:spPr>
                    <a:solidFill>
                      <a:schemeClr val="accent5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7"/>
                  <c:bubble3D val="0"/>
                  <c:spPr>
                    <a:solidFill>
                      <a:schemeClr val="accent6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8"/>
                  <c:bubble3D val="0"/>
                  <c:spPr>
                    <a:solidFill>
                      <a:schemeClr val="accent1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29"/>
                  <c:bubble3D val="0"/>
                  <c:spPr>
                    <a:solidFill>
                      <a:schemeClr val="accent2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0"/>
                  <c:bubble3D val="0"/>
                  <c:spPr>
                    <a:solidFill>
                      <a:schemeClr val="accent3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1"/>
                  <c:bubble3D val="0"/>
                  <c:spPr>
                    <a:solidFill>
                      <a:schemeClr val="accent4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2"/>
                  <c:bubble3D val="0"/>
                  <c:spPr>
                    <a:solidFill>
                      <a:schemeClr val="accent5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3"/>
                  <c:bubble3D val="0"/>
                  <c:spPr>
                    <a:solidFill>
                      <a:schemeClr val="accent6">
                        <a:lumMod val="80000"/>
                        <a:lumOff val="2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4"/>
                  <c:bubble3D val="0"/>
                  <c:spPr>
                    <a:solidFill>
                      <a:schemeClr val="accent1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5"/>
                  <c:bubble3D val="0"/>
                  <c:spPr>
                    <a:solidFill>
                      <a:schemeClr val="accent2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6"/>
                  <c:bubble3D val="0"/>
                  <c:spPr>
                    <a:solidFill>
                      <a:schemeClr val="accent3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7"/>
                  <c:bubble3D val="0"/>
                  <c:spPr>
                    <a:solidFill>
                      <a:schemeClr val="accent4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8"/>
                  <c:bubble3D val="0"/>
                  <c:spPr>
                    <a:solidFill>
                      <a:schemeClr val="accent5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39"/>
                  <c:bubble3D val="0"/>
                  <c:spPr>
                    <a:solidFill>
                      <a:schemeClr val="accent6">
                        <a:lumMod val="8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0"/>
                  <c:bubble3D val="0"/>
                  <c:spPr>
                    <a:solidFill>
                      <a:schemeClr val="accent1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1"/>
                  <c:bubble3D val="0"/>
                  <c:spPr>
                    <a:solidFill>
                      <a:schemeClr val="accent2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2"/>
                  <c:bubble3D val="0"/>
                  <c:spPr>
                    <a:solidFill>
                      <a:schemeClr val="accent3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3"/>
                  <c:bubble3D val="0"/>
                  <c:spPr>
                    <a:solidFill>
                      <a:schemeClr val="accent4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4"/>
                  <c:bubble3D val="0"/>
                  <c:spPr>
                    <a:solidFill>
                      <a:schemeClr val="accent5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5"/>
                  <c:bubble3D val="0"/>
                  <c:spPr>
                    <a:solidFill>
                      <a:schemeClr val="accent6">
                        <a:lumMod val="60000"/>
                        <a:lumOff val="4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6"/>
                  <c:bubble3D val="0"/>
                  <c:spPr>
                    <a:solidFill>
                      <a:schemeClr val="accent1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7"/>
                  <c:bubble3D val="0"/>
                  <c:spPr>
                    <a:solidFill>
                      <a:schemeClr val="accent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8"/>
                  <c:bubble3D val="0"/>
                  <c:spPr>
                    <a:solidFill>
                      <a:schemeClr val="accent3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49"/>
                  <c:bubble3D val="0"/>
                  <c:spPr>
                    <a:solidFill>
                      <a:schemeClr val="accent4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0"/>
                  <c:bubble3D val="0"/>
                  <c:spPr>
                    <a:solidFill>
                      <a:schemeClr val="accent5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1"/>
                  <c:bubble3D val="0"/>
                  <c:spPr>
                    <a:solidFill>
                      <a:schemeClr val="accent6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2"/>
                  <c:bubble3D val="0"/>
                  <c:spPr>
                    <a:solidFill>
                      <a:schemeClr val="accent1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3"/>
                  <c:bubble3D val="0"/>
                  <c:spPr>
                    <a:solidFill>
                      <a:schemeClr val="accent2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4"/>
                  <c:bubble3D val="0"/>
                  <c:spPr>
                    <a:solidFill>
                      <a:schemeClr val="accent3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5"/>
                  <c:bubble3D val="0"/>
                  <c:spPr>
                    <a:solidFill>
                      <a:schemeClr val="accent4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6"/>
                  <c:bubble3D val="0"/>
                  <c:spPr>
                    <a:solidFill>
                      <a:schemeClr val="accent5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7"/>
                  <c:bubble3D val="0"/>
                  <c:spPr>
                    <a:solidFill>
                      <a:schemeClr val="accent6">
                        <a:lumMod val="70000"/>
                        <a:lumOff val="3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8"/>
                  <c:bubble3D val="0"/>
                  <c:spPr>
                    <a:solidFill>
                      <a:schemeClr val="accent1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59"/>
                  <c:bubble3D val="0"/>
                  <c:spPr>
                    <a:solidFill>
                      <a:schemeClr val="accent2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0"/>
                  <c:bubble3D val="0"/>
                  <c:spPr>
                    <a:solidFill>
                      <a:schemeClr val="accent3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1"/>
                  <c:bubble3D val="0"/>
                  <c:spPr>
                    <a:solidFill>
                      <a:schemeClr val="accent4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2"/>
                  <c:bubble3D val="0"/>
                  <c:spPr>
                    <a:solidFill>
                      <a:schemeClr val="accent5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3"/>
                  <c:bubble3D val="0"/>
                  <c:spPr>
                    <a:solidFill>
                      <a:schemeClr val="accent6">
                        <a:lumMod val="7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4"/>
                  <c:bubble3D val="0"/>
                  <c:spPr>
                    <a:solidFill>
                      <a:schemeClr val="accent1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5"/>
                  <c:bubble3D val="0"/>
                  <c:spPr>
                    <a:solidFill>
                      <a:schemeClr val="accent2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6"/>
                  <c:bubble3D val="0"/>
                  <c:spPr>
                    <a:solidFill>
                      <a:schemeClr val="accent3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7"/>
                  <c:bubble3D val="0"/>
                  <c:spPr>
                    <a:solidFill>
                      <a:schemeClr val="accent4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8"/>
                  <c:bubble3D val="0"/>
                  <c:spPr>
                    <a:solidFill>
                      <a:schemeClr val="accent5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69"/>
                  <c:bubble3D val="0"/>
                  <c:spPr>
                    <a:solidFill>
                      <a:schemeClr val="accent6">
                        <a:lumMod val="50000"/>
                        <a:lumOff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0"/>
                  <c:bubble3D val="0"/>
                  <c:spPr>
                    <a:solidFill>
                      <a:schemeClr val="accent6">
                        <a:lumMod val="75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1"/>
                  <c:bubble3D val="0"/>
                  <c:spPr>
                    <a:solidFill>
                      <a:schemeClr val="accent2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2"/>
                  <c:bubble3D val="0"/>
                  <c:spPr>
                    <a:solidFill>
                      <a:schemeClr val="accent3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3"/>
                  <c:bubble3D val="0"/>
                  <c:spPr>
                    <a:solidFill>
                      <a:schemeClr val="accent4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4"/>
                  <c:bubble3D val="0"/>
                  <c:spPr>
                    <a:solidFill>
                      <a:schemeClr val="accent5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5"/>
                  <c:bubble3D val="0"/>
                  <c:spPr>
                    <a:solidFill>
                      <a:srgbClr val="00B0F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6"/>
                  <c:bubble3D val="0"/>
                  <c:spPr>
                    <a:solidFill>
                      <a:schemeClr val="accent1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7"/>
                  <c:bubble3D val="0"/>
                  <c:spPr>
                    <a:solidFill>
                      <a:schemeClr val="accent2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8"/>
                  <c:bubble3D val="0"/>
                  <c:spPr>
                    <a:solidFill>
                      <a:schemeClr val="bg2">
                        <a:lumMod val="5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79"/>
                  <c:bubble3D val="0"/>
                  <c:spPr>
                    <a:solidFill>
                      <a:schemeClr val="accent4">
                        <a:lumMod val="60000"/>
                      </a:schemeClr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Pt>
                  <c:idx val="280"/>
                  <c:bubble3D val="0"/>
                  <c:spPr>
                    <a:solidFill>
                      <a:srgbClr val="FFFF00"/>
                    </a:solidFill>
                    <a:ln w="19050">
                      <a:solidFill>
                        <a:schemeClr val="lt1"/>
                      </a:solidFill>
                    </a:ln>
                    <a:effectLst/>
                  </c:spPr>
                </c:dPt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showLegendKey val="0"/>
                  <c:showVal val="0"/>
                  <c:showCatName val="0"/>
                  <c:showSerName val="0"/>
                  <c:showPercent val="1"/>
                  <c:showBubbleSize val="0"/>
                  <c:showLeaderLines val="1"/>
                  <c:leaderLines>
                    <c:spPr>
                      <a:ln w="9525" cap="flat" cmpd="sng" algn="ctr">
                        <a:solidFill>
                          <a:schemeClr val="tx1">
                            <a:lumMod val="35000"/>
                            <a:lumOff val="65000"/>
                          </a:schemeClr>
                        </a:solidFill>
                        <a:round/>
                      </a:ln>
                      <a:effectLst/>
                    </c:spPr>
                  </c:leaderLines>
                  <c:extLst xmlns:c15="http://schemas.microsoft.com/office/drawing/2012/chart" xmlns:c16r2="http://schemas.microsoft.com/office/drawing/2015/06/chart">
                    <c:ext xmlns:c15="http://schemas.microsoft.com/office/drawing/2012/chart" uri="{CE6537A1-D6FC-4f65-9D91-7224C49458BB}"/>
                  </c:extLst>
                </c:dLbls>
                <c:cat>
                  <c:strRef>
                    <c:extLst>
                      <c:ext xmlns:c15="http://schemas.microsoft.com/office/drawing/2012/chart" uri="{02D57815-91ED-43cb-92C2-25804820EDAC}">
                        <c15:fullRef>
                          <c15:sqref>'Données initiales'!$C$151:$N$151</c15:sqref>
                        </c15:fullRef>
                        <c15:formulaRef>
                          <c15:sqref>('Données initiales'!$C$151,'Données initiales'!$E$151,'Données initiales'!$G$151,'Données initiales'!$I$151,'Données initiales'!$K$151,'Données initiales'!$M$151)</c15:sqref>
                        </c15:formulaRef>
                      </c:ext>
                    </c:extLst>
                    <c:strCache>
                      <c:ptCount val="6"/>
                      <c:pt idx="0">
                        <c:v>ESQ ==&gt; APD</c:v>
                      </c:pt>
                      <c:pt idx="1">
                        <c:v>Fin études/AO</c:v>
                      </c:pt>
                      <c:pt idx="2">
                        <c:v>OS</c:v>
                      </c:pt>
                      <c:pt idx="3">
                        <c:v>Travaux</c:v>
                      </c:pt>
                      <c:pt idx="4">
                        <c:v>GPA</c:v>
                      </c:pt>
                      <c:pt idx="5">
                        <c:v>Clôture défisc</c:v>
                      </c:pt>
                    </c:strCache>
                  </c:strRef>
                </c:cat>
                <c:val>
                  <c:numRef>
                    <c:extLst>
                      <c:ext xmlns:c15="http://schemas.microsoft.com/office/drawing/2012/chart" uri="{02D57815-91ED-43cb-92C2-25804820EDAC}">
                        <c15:fullRef>
                          <c15:sqref>'Données initiales'!$C$159:$N$159</c15:sqref>
                        </c15:fullRef>
                        <c15:formulaRef>
                          <c15:sqref>('Données initiales'!$C$159,'Données initiales'!$E$159,'Données initiales'!$G$159,'Données initiales'!$I$159,'Données initiales'!$K$159,'Données initiales'!$M$159)</c15:sqref>
                        </c15:formulaRef>
                      </c:ext>
                    </c:extLst>
                    <c:numCache>
                      <c:formatCode>0%</c:formatCode>
                      <c:ptCount val="6"/>
                      <c:pt idx="0" formatCode="General">
                        <c:v>0</c:v>
                      </c:pt>
                      <c:pt idx="1" formatCode="General">
                        <c:v>3</c:v>
                      </c:pt>
                      <c:pt idx="2" formatCode="General">
                        <c:v>0</c:v>
                      </c:pt>
                      <c:pt idx="3" formatCode="General">
                        <c:v>7</c:v>
                      </c:pt>
                      <c:pt idx="4" formatCode="General">
                        <c:v>0</c:v>
                      </c:pt>
                      <c:pt idx="5" formatCode="General">
                        <c:v>0</c:v>
                      </c:pt>
                    </c:numCache>
                  </c:numRef>
                </c:val>
                <c:extLst xmlns:c15="http://schemas.microsoft.com/office/drawing/2012/chart" xmlns:c16r2="http://schemas.microsoft.com/office/drawing/2015/06/chart">
                  <c:ext xmlns:c16="http://schemas.microsoft.com/office/drawing/2014/chart" uri="{C3380CC4-5D6E-409C-BE32-E72D297353CC}">
                    <c16:uniqueId val="{00000142-834F-4CA6-9848-E201B4DA109F}"/>
                  </c:ext>
                  <c:ext xmlns:c15="http://schemas.microsoft.com/office/drawing/2012/chart" uri="{02D57815-91ED-43cb-92C2-25804820EDAC}">
                    <c15:categoryFilterExceptions/>
                  </c:ext>
                </c:extLst>
              </c15:ser>
            </c15:filteredPieSeries>
          </c:ext>
        </c:extLst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718703</xdr:colOff>
      <xdr:row>161</xdr:row>
      <xdr:rowOff>178377</xdr:rowOff>
    </xdr:from>
    <xdr:to>
      <xdr:col>7</xdr:col>
      <xdr:colOff>95249</xdr:colOff>
      <xdr:row>176</xdr:row>
      <xdr:rowOff>64077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331593</xdr:colOff>
      <xdr:row>162</xdr:row>
      <xdr:rowOff>6</xdr:rowOff>
    </xdr:from>
    <xdr:to>
      <xdr:col>10</xdr:col>
      <xdr:colOff>1169996</xdr:colOff>
      <xdr:row>176</xdr:row>
      <xdr:rowOff>100655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1463385</xdr:colOff>
      <xdr:row>162</xdr:row>
      <xdr:rowOff>22512</xdr:rowOff>
    </xdr:from>
    <xdr:to>
      <xdr:col>14</xdr:col>
      <xdr:colOff>320385</xdr:colOff>
      <xdr:row>176</xdr:row>
      <xdr:rowOff>98712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00000000-0008-0000-05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718703</xdr:colOff>
      <xdr:row>177</xdr:row>
      <xdr:rowOff>109103</xdr:rowOff>
    </xdr:from>
    <xdr:to>
      <xdr:col>7</xdr:col>
      <xdr:colOff>34637</xdr:colOff>
      <xdr:row>191</xdr:row>
      <xdr:rowOff>121227</xdr:rowOff>
    </xdr:to>
    <xdr:graphicFrame macro="">
      <xdr:nvGraphicFramePr>
        <xdr:cNvPr id="5" name="Graphique 4">
          <a:extLst>
            <a:ext uri="{FF2B5EF4-FFF2-40B4-BE49-F238E27FC236}">
              <a16:creationId xmlns="" xmlns:a16="http://schemas.microsoft.com/office/drawing/2014/main" id="{00000000-0008-0000-05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7</xdr:col>
      <xdr:colOff>326571</xdr:colOff>
      <xdr:row>177</xdr:row>
      <xdr:rowOff>125185</xdr:rowOff>
    </xdr:from>
    <xdr:to>
      <xdr:col>10</xdr:col>
      <xdr:colOff>1156607</xdr:colOff>
      <xdr:row>192</xdr:row>
      <xdr:rowOff>10885</xdr:rowOff>
    </xdr:to>
    <xdr:graphicFrame macro="">
      <xdr:nvGraphicFramePr>
        <xdr:cNvPr id="6" name="Graphique 5">
          <a:extLst>
            <a:ext uri="{FF2B5EF4-FFF2-40B4-BE49-F238E27FC236}">
              <a16:creationId xmlns="" xmlns:a16="http://schemas.microsoft.com/office/drawing/2014/main" id="{00000000-0008-0000-05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10</xdr:col>
      <xdr:colOff>1476374</xdr:colOff>
      <xdr:row>177</xdr:row>
      <xdr:rowOff>152400</xdr:rowOff>
    </xdr:from>
    <xdr:to>
      <xdr:col>14</xdr:col>
      <xdr:colOff>357187</xdr:colOff>
      <xdr:row>192</xdr:row>
      <xdr:rowOff>38100</xdr:rowOff>
    </xdr:to>
    <xdr:graphicFrame macro="">
      <xdr:nvGraphicFramePr>
        <xdr:cNvPr id="7" name="Graphique 6">
          <a:extLst>
            <a:ext uri="{FF2B5EF4-FFF2-40B4-BE49-F238E27FC236}">
              <a16:creationId xmlns="" xmlns:a16="http://schemas.microsoft.com/office/drawing/2014/main" id="{00000000-0008-0000-0500-000007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14</xdr:col>
      <xdr:colOff>833438</xdr:colOff>
      <xdr:row>162</xdr:row>
      <xdr:rowOff>33337</xdr:rowOff>
    </xdr:from>
    <xdr:to>
      <xdr:col>18</xdr:col>
      <xdr:colOff>642938</xdr:colOff>
      <xdr:row>176</xdr:row>
      <xdr:rowOff>109537</xdr:rowOff>
    </xdr:to>
    <xdr:graphicFrame macro="">
      <xdr:nvGraphicFramePr>
        <xdr:cNvPr id="8" name="Graphique 7">
          <a:extLst>
            <a:ext uri="{FF2B5EF4-FFF2-40B4-BE49-F238E27FC236}">
              <a16:creationId xmlns="" xmlns:a16="http://schemas.microsoft.com/office/drawing/2014/main" id="{00000000-0008-0000-05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athalie BLANDINO" refreshedDate="43163.429627546298" createdVersion="5" refreshedVersion="5" minRefreshableVersion="3" recordCount="102">
  <cacheSource type="worksheet">
    <worksheetSource ref="A1:JE103" sheet="Données initiales"/>
  </cacheSource>
  <cacheFields count="265">
    <cacheField name="OPERATION" numFmtId="0">
      <sharedItems/>
    </cacheField>
    <cacheField name="COMMUNE" numFmtId="0">
      <sharedItems/>
    </cacheField>
    <cacheField name="BASSIN" numFmtId="0">
      <sharedItems/>
    </cacheField>
    <cacheField name="Prog" numFmtId="0">
      <sharedItems containsString="0" containsBlank="1" containsNumber="1" containsInteger="1" minValue="2010" maxValue="2021" count="12">
        <n v="2010"/>
        <n v="2011"/>
        <n v="2012"/>
        <n v="2013"/>
        <n v="2014"/>
        <n v="2015"/>
        <n v="2016"/>
        <n v="2017"/>
        <n v="2019"/>
        <n v="2021"/>
        <n v="2018"/>
        <m/>
      </sharedItems>
    </cacheField>
    <cacheField name="CODE" numFmtId="0">
      <sharedItems containsBlank="1"/>
    </cacheField>
    <cacheField name="RO" numFmtId="0">
      <sharedItems containsBlank="1"/>
    </cacheField>
    <cacheField name="ASSISTANTE" numFmtId="0">
      <sharedItems containsBlank="1"/>
    </cacheField>
    <cacheField name="AVANCEMENT" numFmtId="0">
      <sharedItems containsBlank="1"/>
    </cacheField>
    <cacheField name="CONTRÔLE DEAL" numFmtId="0">
      <sharedItems containsBlank="1" containsMixedTypes="1" containsNumber="1" minValue="692909.23" maxValue="692909.23"/>
    </cacheField>
    <cacheField name="PARCELLE" numFmtId="0">
      <sharedItems containsBlank="1"/>
    </cacheField>
    <cacheField name="FONCIER" numFmtId="0">
      <sharedItems containsBlank="1" longText="1"/>
    </cacheField>
    <cacheField name="Propriétaire" numFmtId="0">
      <sharedItems containsBlank="1"/>
    </cacheField>
    <cacheField name="Notaire Terrain" numFmtId="0">
      <sharedItems containsBlank="1"/>
    </cacheField>
    <cacheField name="Signature Acte" numFmtId="0">
      <sharedItems containsDate="1" containsBlank="1" containsMixedTypes="1" minDate="1993-01-25T00:00:00" maxDate="2013-12-20T00:00:00"/>
    </cacheField>
    <cacheField name="S TERRAIN" numFmtId="3">
      <sharedItems containsString="0" containsBlank="1" containsNumber="1" minValue="606" maxValue="20161"/>
    </cacheField>
    <cacheField name="PRIX TERRAIN BRUT" numFmtId="3">
      <sharedItems containsString="0" containsBlank="1" containsNumber="1" minValue="1" maxValue="1550000"/>
    </cacheField>
    <cacheField name="PRIX TERRAIN AMENAGE" numFmtId="3">
      <sharedItems containsString="0" containsBlank="1" containsNumber="1" minValue="51520" maxValue="1300000"/>
    </cacheField>
    <cacheField name="PRIX BRUT / LGT " numFmtId="3">
      <sharedItems containsBlank="1" containsMixedTypes="1" containsNumber="1" minValue="0" maxValue="36111.111111111109"/>
    </cacheField>
    <cacheField name="PRIX m² terrain brut" numFmtId="3">
      <sharedItems containsBlank="1" containsMixedTypes="1" containsNumber="1" minValue="0" maxValue="700.63694267515928"/>
    </cacheField>
    <cacheField name="PRIX m² terrain aménagé" numFmtId="3">
      <sharedItems containsBlank="1" containsMixedTypes="1" containsNumber="1" minValue="0" maxValue="700.63694267515928"/>
    </cacheField>
    <cacheField name="PRIX m² SF" numFmtId="3">
      <sharedItems containsBlank="1" containsMixedTypes="1" containsNumber="1" minValue="0" maxValue="416.95086825847386"/>
    </cacheField>
    <cacheField name="PRIX AMENAGE/ LGT" numFmtId="3">
      <sharedItems containsBlank="1" containsMixedTypes="1" containsNumber="1" minValue="0" maxValue="35000"/>
    </cacheField>
    <cacheField name="M² TERRAIN / LGT" numFmtId="3">
      <sharedItems containsBlank="1" containsMixedTypes="1" containsNumber="1" minValue="0" maxValue="1089.75"/>
    </cacheField>
    <cacheField name="S EMPRISE" numFmtId="0">
      <sharedItems containsString="0" containsBlank="1" containsNumber="1" minValue="300" maxValue="2205.9499999999998"/>
    </cacheField>
    <cacheField name="DENSITE" numFmtId="0">
      <sharedItems containsBlank="1" containsMixedTypes="1" containsNumber="1" minValue="0" maxValue="2.1514267515923566"/>
    </cacheField>
    <cacheField name="ZONAGE" numFmtId="0">
      <sharedItems containsBlank="1"/>
    </cacheField>
    <cacheField name="Altitude" numFmtId="0">
      <sharedItems containsString="0" containsBlank="1" containsNumber="1" containsInteger="1" minValue="20" maxValue="900"/>
    </cacheField>
    <cacheField name="Pente" numFmtId="0">
      <sharedItems containsString="0" containsBlank="1" containsNumber="1" minValue="0" maxValue="0.3"/>
    </cacheField>
    <cacheField name="TYPE" numFmtId="0">
      <sharedItems/>
    </cacheField>
    <cacheField name="N" numFmtId="1">
      <sharedItems containsSemiMixedTypes="0" containsString="0" containsNumber="1" containsInteger="1" minValue="4" maxValue="200"/>
    </cacheField>
    <cacheField name="LLS" numFmtId="0">
      <sharedItems containsString="0" containsBlank="1" containsNumber="1" containsInteger="1" minValue="4" maxValue="84"/>
    </cacheField>
    <cacheField name="LLTS" numFmtId="0">
      <sharedItems containsString="0" containsBlank="1" containsNumber="1" containsInteger="1" minValue="6" maxValue="84"/>
    </cacheField>
    <cacheField name="PLS" numFmtId="0">
      <sharedItems containsString="0" containsBlank="1" containsNumber="1" containsInteger="1" minValue="19" maxValue="200"/>
    </cacheField>
    <cacheField name="REHAB" numFmtId="0">
      <sharedItems containsString="0" containsBlank="1" containsNumber="1" containsInteger="1" minValue="6" maxValue="128"/>
    </cacheField>
    <cacheField name="SF" numFmtId="4">
      <sharedItems containsString="0" containsBlank="1" containsNumber="1" minValue="317.76" maxValue="7367.96"/>
    </cacheField>
    <cacheField name="SF priorisée" numFmtId="4">
      <sharedItems containsString="0" containsBlank="1" containsNumber="1" minValue="317.76" maxValue="7367.66"/>
    </cacheField>
    <cacheField name="SF / lgt" numFmtId="4">
      <sharedItems containsBlank="1" containsMixedTypes="1" containsNumber="1" minValue="0" maxValue="1746"/>
    </cacheField>
    <cacheField name="T1" numFmtId="0">
      <sharedItems containsString="0" containsBlank="1" containsNumber="1" minValue="0" maxValue="0.22857142857142856"/>
    </cacheField>
    <cacheField name="T2" numFmtId="0">
      <sharedItems containsString="0" containsBlank="1" containsNumber="1" minValue="0" maxValue="7"/>
    </cacheField>
    <cacheField name="T3" numFmtId="0">
      <sharedItems containsString="0" containsBlank="1" containsNumber="1" minValue="0" maxValue="8"/>
    </cacheField>
    <cacheField name="T4" numFmtId="0">
      <sharedItems containsString="0" containsBlank="1" containsNumber="1" minValue="0" maxValue="5"/>
    </cacheField>
    <cacheField name="T5" numFmtId="0">
      <sharedItems containsString="0" containsBlank="1" containsNumber="1" minValue="0" maxValue="1"/>
    </cacheField>
    <cacheField name="S espaces verts collectifs" numFmtId="0">
      <sharedItems containsBlank="1" containsMixedTypes="1" containsNumber="1" minValue="217.58" maxValue="12480"/>
    </cacheField>
    <cacheField name="S ANC" numFmtId="41">
      <sharedItems containsBlank="1" containsMixedTypes="1" containsNumber="1" minValue="0" maxValue="2000"/>
    </cacheField>
    <cacheField name="Emprise ANC" numFmtId="9">
      <sharedItems containsBlank="1" containsMixedTypes="1" containsNumber="1" minValue="0" maxValue="0.39273927392739272"/>
    </cacheField>
    <cacheField name="N niveaux lgt y/c RDC" numFmtId="0">
      <sharedItems containsBlank="1" containsMixedTypes="1" containsNumber="1" minValue="1" maxValue="7"/>
    </cacheField>
    <cacheField name="Type Habitat" numFmtId="0">
      <sharedItems containsBlank="1"/>
    </cacheField>
    <cacheField name="Pkgs couverts" numFmtId="0">
      <sharedItems containsBlank="1"/>
    </cacheField>
    <cacheField name="Archi conseil DEAL" numFmtId="0">
      <sharedItems containsDate="1" containsBlank="1" containsMixedTypes="1" minDate="2012-09-18T00:00:00" maxDate="2017-09-01T00:00:00"/>
    </cacheField>
    <cacheField name="CA" numFmtId="0">
      <sharedItems containsNonDate="0" containsDate="1" containsString="0" containsBlank="1" minDate="2011-09-30T00:00:00" maxDate="2017-01-27T00:00:00"/>
    </cacheField>
    <cacheField name="Arrangeur" numFmtId="0">
      <sharedItems containsBlank="1"/>
    </cacheField>
    <cacheField name="Structure" numFmtId="0">
      <sharedItems containsBlank="1"/>
    </cacheField>
    <cacheField name="Convention CAF" numFmtId="0">
      <sharedItems containsBlank="1" containsMixedTypes="1" containsNumber="1" containsInteger="1" minValue="120000" maxValue="415000"/>
    </cacheField>
    <cacheField name="Arrêté LBU" numFmtId="14">
      <sharedItems containsNonDate="0" containsDate="1" containsString="0" containsBlank="1" minDate="2010-11-09T00:00:00" maxDate="2017-11-01T00:00:00"/>
    </cacheField>
    <cacheField name="Transmission à DAF" numFmtId="14">
      <sharedItems containsNonDate="0" containsDate="1" containsString="0" containsBlank="1" minDate="2015-10-14T00:00:00" maxDate="2018-01-17T00:00:00"/>
    </cacheField>
    <cacheField name="Date Dépôt DRFIP" numFmtId="14">
      <sharedItems containsDate="1" containsBlank="1" containsMixedTypes="1" minDate="2013-07-12T00:00:00" maxDate="2016-10-07T00:00:00"/>
    </cacheField>
    <cacheField name="Date Agrément DRFIP" numFmtId="14">
      <sharedItems containsDate="1" containsBlank="1" containsMixedTypes="1" minDate="2012-08-13T00:00:00" maxDate="2016-11-24T00:00:00"/>
    </cacheField>
    <cacheField name="Transmission à DAF2" numFmtId="14">
      <sharedItems containsDate="1" containsBlank="1" containsMixedTypes="1" minDate="2015-10-14T00:00:00" maxDate="2016-11-25T00:00:00"/>
    </cacheField>
    <cacheField name="Dde édition prêt" numFmtId="0">
      <sharedItems containsDate="1" containsBlank="1" containsMixedTypes="1" minDate="2013-10-02T00:00:00" maxDate="2017-11-04T00:00:00"/>
    </cacheField>
    <cacheField name="Contrat de prêt" numFmtId="0">
      <sharedItems containsDate="1" containsBlank="1" containsMixedTypes="1" minDate="2013-10-28T00:00:00" maxDate="2017-07-14T00:00:00"/>
    </cacheField>
    <cacheField name="Limite validité Ct prêt" numFmtId="0">
      <sharedItems containsDate="1" containsBlank="1" containsMixedTypes="1" minDate="2014-01-03T00:00:00" maxDate="2017-10-06T00:00:00"/>
    </cacheField>
    <cacheField name="Transmission Ct Prêt à DAF" numFmtId="0">
      <sharedItems containsDate="1" containsBlank="1" containsMixedTypes="1" minDate="2015-03-11T00:00:00" maxDate="2018-03-02T00:00:00"/>
    </cacheField>
    <cacheField name="Début préfinancement" numFmtId="164">
      <sharedItems containsNonDate="0" containsDate="1" containsString="0" containsBlank="1" minDate="2013-02-14T00:00:00" maxDate="2017-10-06T00:00:00"/>
    </cacheField>
    <cacheField name="Fin préfinancement" numFmtId="164">
      <sharedItems containsNonDate="0" containsDate="1" containsString="0" containsBlank="1" minDate="1901-12-31T00:00:00" maxDate="2019-10-06T00:00:00"/>
    </cacheField>
    <cacheField name="1e échéance prêt" numFmtId="164">
      <sharedItems containsNonDate="0" containsDate="1" containsString="0" containsBlank="1" minDate="1902-12-31T00:00:00" maxDate="2020-10-06T00:00:00"/>
    </cacheField>
    <cacheField name="PROBLEME" numFmtId="164">
      <sharedItems containsBlank="1"/>
    </cacheField>
    <cacheField name="Dde dossier Ass" numFmtId="0">
      <sharedItems containsDate="1" containsBlank="1" containsMixedTypes="1" minDate="2016-07-13T00:00:00" maxDate="2017-07-05T00:00:00"/>
    </cacheField>
    <cacheField name="Transmission garanties à CDC" numFmtId="0">
      <sharedItems containsDate="1" containsBlank="1" containsMixedTypes="1" minDate="2014-01-13T00:00:00" maxDate="2016-12-22T00:00:00"/>
    </cacheField>
    <cacheField name="Transmission à DAF_x000a_Garantie CG" numFmtId="0">
      <sharedItems containsDate="1" containsBlank="1" containsMixedTypes="1" minDate="2017-01-12T00:00:00" maxDate="2017-10-19T00:00:00"/>
    </cacheField>
    <cacheField name="Transmission à DAF_x000a_Garantie CM" numFmtId="0">
      <sharedItems containsDate="1" containsBlank="1" containsMixedTypes="1" minDate="2016-02-01T00:00:00" maxDate="2017-04-26T00:00:00"/>
    </cacheField>
    <cacheField name="Transmission à DAF_x000a_Garantie EPCI" numFmtId="0">
      <sharedItems containsDate="1" containsBlank="1" containsMixedTypes="1" minDate="2015-09-29T00:00:00" maxDate="2017-06-30T00:00:00"/>
    </cacheField>
    <cacheField name="Transmission à DAF_x000a_Garantie CR" numFmtId="0">
      <sharedItems containsDate="1" containsBlank="1" containsMixedTypes="1" minDate="2015-12-22T00:00:00" maxDate="2017-07-07T00:00:00"/>
    </cacheField>
    <cacheField name="Notaire VEFA" numFmtId="0">
      <sharedItems containsBlank="1"/>
    </cacheField>
    <cacheField name="Signature VEFA / Placement defisc" numFmtId="14">
      <sharedItems containsDate="1" containsBlank="1" containsMixedTypes="1" minDate="2011-12-21T00:00:00" maxDate="2016-12-24T00:00:00"/>
    </cacheField>
    <cacheField name="Transmission VEFA à DAF" numFmtId="14">
      <sharedItems containsDate="1" containsBlank="1" containsMixedTypes="1" minDate="2016-06-27T00:00:00" maxDate="2016-06-28T00:00:00"/>
    </cacheField>
    <cacheField name="PRIX VEFA HT" numFmtId="43">
      <sharedItems containsBlank="1" containsMixedTypes="1" containsNumber="1" minValue="1051215.9099999999" maxValue="18979814"/>
    </cacheField>
    <cacheField name="Date limite d'utilisation des fonds" numFmtId="14">
      <sharedItems containsDate="1" containsBlank="1" containsMixedTypes="1" minDate="1901-06-30T00:00:00" maxDate="2018-06-24T00:00:00"/>
    </cacheField>
    <cacheField name="LIMITE AF FONDATIONS" numFmtId="14">
      <sharedItems containsDate="1" containsBlank="1" containsMixedTypes="1" minDate="1901-12-31T00:00:00" maxDate="2018-12-24T00:00:00"/>
    </cacheField>
    <cacheField name="AF FONDATIONS" numFmtId="14">
      <sharedItems containsNonDate="0" containsDate="1" containsString="0" containsBlank="1" minDate="2012-03-16T00:00:00" maxDate="2017-07-19T00:00:00"/>
    </cacheField>
    <cacheField name="ACHEVEMENT VEFA" numFmtId="14">
      <sharedItems containsDate="1" containsBlank="1" containsMixedTypes="1" minDate="2013-03-31T00:00:00" maxDate="2019-10-31T00:00:00"/>
    </cacheField>
    <cacheField name="Retard livraison VEFA (mois)" numFmtId="0">
      <sharedItems containsBlank="1" containsMixedTypes="1" containsNumber="1" minValue="-8.5666666666666664" maxValue="1468.6"/>
    </cacheField>
    <cacheField name="Taux conformité DCE au CRATE " numFmtId="0">
      <sharedItems containsNonDate="0" containsString="0" containsBlank="1"/>
    </cacheField>
    <cacheField name="OS démarrage" numFmtId="164">
      <sharedItems containsNonDate="0" containsDate="1" containsString="0" containsBlank="1" minDate="2011-06-27T00:00:00" maxDate="2022-02-02T00:00:00"/>
    </cacheField>
    <cacheField name="ANNEE DEMARRAGE" numFmtId="0">
      <sharedItems containsString="0" containsBlank="1" containsNumber="1" containsInteger="1" minValue="2011" maxValue="2018"/>
    </cacheField>
    <cacheField name="ECART Arrêté DEAL / OS" numFmtId="1">
      <sharedItems containsString="0" containsBlank="1" containsNumber="1" minValue="1.3333333333333333" maxValue="1486.4333333333334"/>
    </cacheField>
    <cacheField name="Délai chantier initial" numFmtId="1">
      <sharedItems containsString="0" containsBlank="1" containsNumber="1" containsInteger="1" minValue="10" maxValue="24"/>
    </cacheField>
    <cacheField name="Délai chantier initial Livraison (+ 1 mois)" numFmtId="1">
      <sharedItems containsString="0" containsBlank="1" containsNumber="1" containsInteger="1" minValue="11" maxValue="25"/>
    </cacheField>
    <cacheField name="Délai chantier réel" numFmtId="1">
      <sharedItems containsString="0" containsBlank="1" containsNumber="1" containsInteger="1" minValue="12" maxValue="51"/>
    </cacheField>
    <cacheField name="Délai inauguration" numFmtId="1">
      <sharedItems containsString="0" containsBlank="1" containsNumber="1" containsInteger="1" minValue="13" maxValue="51"/>
    </cacheField>
    <cacheField name="Retard réception (mois)" numFmtId="1">
      <sharedItems containsMixedTypes="1" containsNumber="1" containsInteger="1" minValue="0" maxValue="32"/>
    </cacheField>
    <cacheField name="Retard loyers (mois)" numFmtId="1">
      <sharedItems containsString="0" containsBlank="1" containsNumber="1" containsInteger="1" minValue="-1" maxValue="31"/>
    </cacheField>
    <cacheField name="Loyer mensuel" numFmtId="0">
      <sharedItems containsString="0" containsBlank="1" containsNumber="1" minValue="2035" maxValue="38106.375015552585"/>
    </cacheField>
    <cacheField name="Perte loyer" numFmtId="3">
      <sharedItems containsString="0" containsBlank="1" containsNumber="1" minValue="-25851.972027750006" maxValue="824646.77946940006"/>
    </cacheField>
    <cacheField name="Transmission Fiche Pgr GL" numFmtId="0">
      <sharedItems containsDate="1" containsBlank="1" containsMixedTypes="1" minDate="2015-12-04T00:00:00" maxDate="2017-10-17T00:00:00"/>
    </cacheField>
    <cacheField name="Date réception prévue initialement" numFmtId="164">
      <sharedItems containsSemiMixedTypes="0" containsNonDate="0" containsDate="1" containsString="0" minDate="1899-12-30T00:00:00" maxDate="2024-02-02T00:00:00"/>
    </cacheField>
    <cacheField name="Date réception entreprises" numFmtId="0">
      <sharedItems containsNonDate="0" containsDate="1" containsString="0" containsBlank="1" minDate="2013-07-09T00:00:00" maxDate="2024-02-02T00:00:00"/>
    </cacheField>
    <cacheField name="DATE LIMITE DAT" numFmtId="0">
      <sharedItems containsNonDate="0" containsDate="1" containsString="0" containsBlank="1" minDate="1901-12-31T00:00:00" maxDate="2019-07-19T00:00:00"/>
    </cacheField>
    <cacheField name="DAT" numFmtId="0">
      <sharedItems containsNonDate="0" containsDate="1" containsString="0" containsBlank="1" minDate="2013-06-04T00:00:00" maxDate="2017-12-14T00:00:00"/>
    </cacheField>
    <cacheField name="Transmission dossier H2 à GL" numFmtId="0">
      <sharedItems containsDate="1" containsBlank="1" containsMixedTypes="1" minDate="2015-10-01T00:00:00" maxDate="2017-05-11T00:00:00"/>
    </cacheField>
    <cacheField name="Date RDC GL" numFmtId="0">
      <sharedItems containsDate="1" containsBlank="1" containsMixedTypes="1" minDate="2013-07-26T00:00:00" maxDate="2024-03-02T00:00:00"/>
    </cacheField>
    <cacheField name="Date inauguration / livraison" numFmtId="164">
      <sharedItems containsNonDate="0" containsDate="1" containsString="0" containsBlank="1" minDate="2013-07-26T00:00:00" maxDate="2024-03-02T00:00:00"/>
    </cacheField>
    <cacheField name="Année Inauguration" numFmtId="0">
      <sharedItems containsString="0" containsBlank="1" containsNumber="1" containsInteger="1" minValue="2013" maxValue="2017"/>
    </cacheField>
    <cacheField name="CAL" numFmtId="0">
      <sharedItems containsDate="1" containsBlank="1" containsMixedTypes="1" minDate="2016-10-27T00:00:00" maxDate="2018-03-02T00:00:00"/>
    </cacheField>
    <cacheField name="RFCT" numFmtId="164">
      <sharedItems containsDate="1" containsBlank="1" containsMixedTypes="1" minDate="2015-11-13T00:00:00" maxDate="2016-12-22T00:00:00"/>
    </cacheField>
    <cacheField name="H2" numFmtId="164">
      <sharedItems containsDate="1" containsBlank="1" containsMixedTypes="1" minDate="2017-04-26T00:00:00" maxDate="2017-04-27T00:00:00"/>
    </cacheField>
    <cacheField name="DGD" numFmtId="164">
      <sharedItems containsBlank="1"/>
    </cacheField>
    <cacheField name="DOE" numFmtId="164">
      <sharedItems containsDate="1" containsBlank="1" containsMixedTypes="1" minDate="2015-12-10T00:00:00" maxDate="2015-12-11T00:00:00"/>
    </cacheField>
    <cacheField name="Attestation conformité Mairie" numFmtId="0">
      <sharedItems containsDate="1" containsBlank="1" containsMixedTypes="1" minDate="2014-01-22T00:00:00" maxDate="2018-02-16T00:00:00"/>
    </cacheField>
    <cacheField name="Clôture DO" numFmtId="0">
      <sharedItems containsDate="1" containsBlank="1" containsMixedTypes="1" minDate="2015-03-19T00:00:00" maxDate="2017-09-23T00:00:00"/>
    </cacheField>
    <cacheField name="Fin GPA" numFmtId="0">
      <sharedItems containsDate="1" containsBlank="1" containsMixedTypes="1" minDate="2014-07-09T00:00:00" maxDate="2017-12-01T00:00:00"/>
    </cacheField>
    <cacheField name="RDV pré-clôture avec RO" numFmtId="0">
      <sharedItems containsDate="1" containsBlank="1" containsMixedTypes="1" minDate="2014-10-03T00:00:00" maxDate="2018-02-23T00:00:00"/>
    </cacheField>
    <cacheField name="Transmission budget pré-clôture DAF" numFmtId="0">
      <sharedItems containsDate="1" containsBlank="1" containsMixedTypes="1" minDate="2014-10-06T00:00:00" maxDate="2018-02-27T00:00:00"/>
    </cacheField>
    <cacheField name="RDV clôture avec RO" numFmtId="0">
      <sharedItems containsDate="1" containsBlank="1" containsMixedTypes="1" minDate="2014-10-07T00:00:00" maxDate="2016-10-05T00:00:00"/>
    </cacheField>
    <cacheField name="Transmission budget DAF" numFmtId="0">
      <sharedItems containsDate="1" containsBlank="1" containsMixedTypes="1" minDate="2014-10-09T00:00:00" maxDate="2018-01-26T00:00:00"/>
    </cacheField>
    <cacheField name="Avenant global" numFmtId="0">
      <sharedItems containsBlank="1"/>
    </cacheField>
    <cacheField name="RDV RO DDAD" numFmtId="0">
      <sharedItems containsDate="1" containsBlank="1" containsMixedTypes="1" minDate="2016-02-26T00:00:00" maxDate="2017-09-21T00:00:00"/>
    </cacheField>
    <cacheField name="Dépôt DDA définitif" numFmtId="0">
      <sharedItems containsDate="1" containsBlank="1" containsMixedTypes="1" minDate="2015-04-27T00:00:00" maxDate="2018-02-06T00:00:00"/>
    </cacheField>
    <cacheField name="Agrément définitif" numFmtId="0">
      <sharedItems containsDate="1" containsBlank="1" containsMixedTypes="1" minDate="2017-04-26T00:00:00" maxDate="2017-04-27T00:00:00"/>
    </cacheField>
    <cacheField name="Baux" numFmtId="0">
      <sharedItems containsDate="1" containsBlank="1" containsMixedTypes="1" minDate="2017-03-14T00:00:00" maxDate="2017-09-26T00:00:00"/>
    </cacheField>
    <cacheField name="Rapport de fin d'opération" numFmtId="0">
      <sharedItems containsDate="1" containsBlank="1" containsMixedTypes="1" minDate="2018-02-08T00:00:00" maxDate="2018-02-09T00:00:00"/>
    </cacheField>
    <cacheField name="Transmission patrimoine" numFmtId="0">
      <sharedItems containsDate="1" containsBlank="1" containsMixedTypes="1" minDate="2015-04-20T00:00:00" maxDate="2017-09-01T00:00:00"/>
    </cacheField>
    <cacheField name="Archivage" numFmtId="0">
      <sharedItems containsDate="1" containsBlank="1" containsMixedTypes="1" minDate="2016-02-24T00:00:00" maxDate="2016-02-25T00:00:00"/>
    </cacheField>
    <cacheField name="Marché MOE notifié" numFmtId="164">
      <sharedItems containsNonDate="0" containsDate="1" containsString="0" containsBlank="1" minDate="2011-09-12T00:00:00" maxDate="2018-02-20T00:00:00"/>
    </cacheField>
    <cacheField name="OS ESQ - prévu" numFmtId="0">
      <sharedItems containsDate="1" containsString="0" containsBlank="1" containsMixedTypes="1" minDate="2011-09-13T00:00:00" maxDate="2018-02-21T00:00:00"/>
    </cacheField>
    <cacheField name="OS ESQ - Réalisé" numFmtId="0">
      <sharedItems containsDate="1" containsString="0" containsBlank="1" containsMixedTypes="1" minDate="2011-07-11T00:00:00" maxDate="1899-12-31T04:50:04"/>
    </cacheField>
    <cacheField name="ECART (j)" numFmtId="0">
      <sharedItems containsBlank="1" containsMixedTypes="1" containsNumber="1" containsInteger="1" minValue="-27" maxValue="768"/>
    </cacheField>
    <cacheField name="Dépôt du dossier PC en Mairie (GANTT)-Prévu" numFmtId="164">
      <sharedItems containsNonDate="0" containsDate="1" containsString="0" containsBlank="1" minDate="2011-12-08T00:00:00" maxDate="2018-06-16T00:00:00"/>
    </cacheField>
    <cacheField name="Dépôt du dossier PC en Mairie - Réalisé" numFmtId="164">
      <sharedItems containsNonDate="0" containsDate="1" containsString="0" containsBlank="1" minDate="2012-02-07T00:00:00" maxDate="2018-06-16T00:00:00"/>
    </cacheField>
    <cacheField name="Ecart dépôt PC (j)" numFmtId="1">
      <sharedItems containsMixedTypes="1" containsNumber="1" containsInteger="1" minValue="-730" maxValue="1519"/>
    </cacheField>
    <cacheField name="OS APD - prévu" numFmtId="0">
      <sharedItems containsNonDate="0" containsDate="1" containsString="0" containsBlank="1" minDate="2011-11-18T00:00:00" maxDate="2018-05-26T00:00:00"/>
    </cacheField>
    <cacheField name="OS APD - Réalisé" numFmtId="164">
      <sharedItems containsNonDate="0" containsDate="1" containsString="0" containsBlank="1" minDate="2012-01-03T00:00:00" maxDate="2018-05-26T00:00:00"/>
    </cacheField>
    <cacheField name="Ecart" numFmtId="1">
      <sharedItems containsMixedTypes="1" containsNumber="1" containsInteger="1" minValue="-24" maxValue="264"/>
    </cacheField>
    <cacheField name="OS PRO - prévu" numFmtId="0">
      <sharedItems containsNonDate="0" containsDate="1" containsString="0" containsBlank="1" minDate="2012-02-10T00:00:00" maxDate="2018-08-15T00:00:00"/>
    </cacheField>
    <cacheField name="OS PRO - Réalisé" numFmtId="164">
      <sharedItems containsNonDate="0" containsDate="1" containsString="0" containsBlank="1" minDate="2013-05-22T00:00:00" maxDate="2018-08-15T00:00:00"/>
    </cacheField>
    <cacheField name="Ecart2" numFmtId="1">
      <sharedItems containsMixedTypes="1" containsNumber="1" containsInteger="1" minValue="0" maxValue="755"/>
    </cacheField>
    <cacheField name="OS DCE - prévu" numFmtId="0">
      <sharedItems containsNonDate="0" containsDate="1" containsString="0" containsBlank="1" minDate="2014-08-29T00:00:00" maxDate="2018-10-16T00:00:00"/>
    </cacheField>
    <cacheField name="OS DCE - Réalisé" numFmtId="0">
      <sharedItems containsNonDate="0" containsDate="1" containsString="0" containsBlank="1" minDate="2014-04-24T00:00:00" maxDate="2018-10-16T00:00:00"/>
    </cacheField>
    <cacheField name="Ecart3" numFmtId="1">
      <sharedItems containsMixedTypes="1" containsNumber="1" containsInteger="1" minValue="-411" maxValue="341"/>
    </cacheField>
    <cacheField name="CAO" numFmtId="0">
      <sharedItems containsNonDate="0" containsDate="1" containsString="0" containsBlank="1" minDate="2015-02-20T00:00:00" maxDate="2018-01-24T00:00:00"/>
    </cacheField>
    <cacheField name="Signature Marché Travaux - Prévu" numFmtId="164">
      <sharedItems containsNonDate="0" containsDate="1" containsString="0" containsBlank="1" minDate="2015-06-03T00:00:00" maxDate="2019-07-31T00:00:00"/>
    </cacheField>
    <cacheField name="Signature Marché Travaux - Réalisé" numFmtId="0">
      <sharedItems containsDate="1" containsString="0" containsBlank="1" containsMixedTypes="1" minDate="2016-05-10T00:00:00" maxDate="1900-01-10T09:49:04"/>
    </cacheField>
    <cacheField name="Ecart4" numFmtId="1">
      <sharedItems containsMixedTypes="1" containsNumber="1" containsInteger="1" minValue="-29" maxValue="603"/>
    </cacheField>
    <cacheField name="Date OS Prévu" numFmtId="164">
      <sharedItems containsNonDate="0" containsDate="1" containsString="0" containsBlank="1" minDate="2015-03-20T00:00:00" maxDate="2019-08-15T00:00:00"/>
    </cacheField>
    <cacheField name="Date OS  - Réalisé" numFmtId="0">
      <sharedItems containsDate="1" containsString="0" containsBlank="1" containsMixedTypes="1" minDate="2015-12-10T00:00:00" maxDate="1900-01-10T09:49:04"/>
    </cacheField>
    <cacheField name="Ecart " numFmtId="1">
      <sharedItems containsMixedTypes="1" containsNumber="1" containsInteger="1" minValue="-158" maxValue="417"/>
    </cacheField>
    <cacheField name="Terrassement - Prévu" numFmtId="164">
      <sharedItems containsNonDate="0" containsDate="1" containsString="0" containsBlank="1" minDate="2016-07-01T00:00:00" maxDate="2017-11-21T00:00:00"/>
    </cacheField>
    <cacheField name="Terrassement Réalisé" numFmtId="0">
      <sharedItems containsDate="1" containsString="0" containsBlank="1" containsMixedTypes="1" minDate="2017-03-13T00:00:00" maxDate="1899-12-31T06:50:04"/>
    </cacheField>
    <cacheField name="Ecart5" numFmtId="1">
      <sharedItems containsMixedTypes="1" containsNumber="1" containsInteger="1" minValue="-17" maxValue="354"/>
    </cacheField>
    <cacheField name="Fondations - Prévu" numFmtId="164">
      <sharedItems containsNonDate="0" containsDate="1" containsString="0" containsBlank="1" minDate="2016-09-02T00:00:00" maxDate="2018-03-24T00:00:00"/>
    </cacheField>
    <cacheField name="Fondations Réalisé" numFmtId="164">
      <sharedItems containsNonDate="0" containsDate="1" containsString="0" containsBlank="1" minDate="2016-08-22T00:00:00" maxDate="2018-03-24T00:00:00"/>
    </cacheField>
    <cacheField name="Ecart6" numFmtId="1">
      <sharedItems containsMixedTypes="1" containsNumber="1" containsInteger="1" minValue="-51" maxValue="218"/>
    </cacheField>
    <cacheField name="Elevations - Prévu" numFmtId="0">
      <sharedItems containsNonDate="0" containsDate="1" containsString="0" containsBlank="1" minDate="2016-12-01T00:00:00" maxDate="2018-04-07T00:00:00"/>
    </cacheField>
    <cacheField name="Elevations Réalisé" numFmtId="0">
      <sharedItems containsDate="1" containsString="0" containsBlank="1" containsMixedTypes="1" minDate="1899-12-31T22:50:04" maxDate="2018-03-05T00:00:00"/>
    </cacheField>
    <cacheField name="Ecart7" numFmtId="1">
      <sharedItems containsMixedTypes="1" containsNumber="1" containsInteger="1" minValue="-56" maxValue="201"/>
    </cacheField>
    <cacheField name="Charpente / Couv - Prévu" numFmtId="0">
      <sharedItems containsNonDate="0" containsDate="1" containsString="0" containsBlank="1" minDate="2017-02-09T00:00:00" maxDate="2018-07-21T00:00:00"/>
    </cacheField>
    <cacheField name="Charpente / Couv - Réalisé" numFmtId="164">
      <sharedItems containsNonDate="0" containsDate="1" containsString="0" containsBlank="1" minDate="2017-07-13T00:00:00" maxDate="2018-07-21T00:00:00"/>
    </cacheField>
    <cacheField name="Ecart8" numFmtId="1">
      <sharedItems containsMixedTypes="1" containsNumber="1" containsInteger="1" minValue="0" maxValue="260"/>
    </cacheField>
    <cacheField name="Clos - Prévu" numFmtId="0">
      <sharedItems containsNonDate="0" containsDate="1" containsString="0" containsBlank="1" minDate="2017-03-07T00:00:00" maxDate="2018-07-19T00:00:00"/>
    </cacheField>
    <cacheField name="Clos - Réalisé" numFmtId="0">
      <sharedItems containsNonDate="0" containsDate="1" containsString="0" containsBlank="1" minDate="2017-09-01T00:00:00" maxDate="2018-07-19T00:00:00"/>
    </cacheField>
    <cacheField name="Ecart9" numFmtId="1">
      <sharedItems containsMixedTypes="1" containsNumber="1" containsInteger="1" minValue="0" maxValue="178"/>
    </cacheField>
    <cacheField name="Cloisons - Prévu" numFmtId="0">
      <sharedItems containsNonDate="0" containsDate="1" containsString="0" containsBlank="1" minDate="2017-03-24T00:00:00" maxDate="2018-08-18T00:00:00"/>
    </cacheField>
    <cacheField name="Cloisons - Réalisé" numFmtId="0">
      <sharedItems containsNonDate="0" containsDate="1" containsString="0" containsBlank="1" minDate="2017-10-09T00:00:00" maxDate="2018-08-18T00:00:00"/>
    </cacheField>
    <cacheField name="Ecart10" numFmtId="1">
      <sharedItems containsMixedTypes="1" containsNumber="1" containsInteger="1" minValue="0" maxValue="199"/>
    </cacheField>
    <cacheField name="Finitions int - Prévu" numFmtId="0">
      <sharedItems containsNonDate="0" containsDate="1" containsString="0" containsBlank="1" minDate="2017-05-24T00:00:00" maxDate="2019-01-01T00:00:00"/>
    </cacheField>
    <cacheField name="Finitions int - Réalisé" numFmtId="0">
      <sharedItems containsNonDate="0" containsDate="1" containsString="0" containsBlank="1" minDate="2017-11-13T00:00:00" maxDate="2019-01-01T00:00:00"/>
    </cacheField>
    <cacheField name="Ecart11" numFmtId="1">
      <sharedItems containsMixedTypes="1" containsNumber="1" containsInteger="1" minValue="0" maxValue="270"/>
    </cacheField>
    <cacheField name="Réception AEP" numFmtId="0">
      <sharedItems containsNonDate="0" containsDate="1" containsString="0" containsBlank="1" minDate="2017-11-20T00:00:00" maxDate="2018-08-11T00:00:00"/>
    </cacheField>
    <cacheField name="Réception FT" numFmtId="0">
      <sharedItems containsDate="1" containsBlank="1" containsMixedTypes="1" minDate="2018-04-13T00:00:00" maxDate="2018-08-11T00:00:00"/>
    </cacheField>
    <cacheField name="Réception EDF" numFmtId="0">
      <sharedItems containsNonDate="0" containsDate="1" containsString="0" containsBlank="1" minDate="2017-11-30T00:00:00" maxDate="2018-08-11T00:00:00"/>
    </cacheField>
    <cacheField name="Réception des travaux (GANTT)-Prévu" numFmtId="0">
      <sharedItems containsNonDate="0" containsDate="1" containsString="0" containsBlank="1" minDate="2017-06-05T00:00:00" maxDate="2021-04-06T00:00:00"/>
    </cacheField>
    <cacheField name="Réception des travaux (GANTT)-Recalée" numFmtId="164">
      <sharedItems containsNonDate="0" containsDate="1" containsString="0" containsBlank="1" minDate="1899-12-30T00:00:00" maxDate="2024-02-02T00:00:00"/>
    </cacheField>
    <cacheField name="Délai travaux (m)" numFmtId="1">
      <sharedItems containsMixedTypes="1" containsNumber="1" minValue="0" maxValue="32.93333333333333"/>
    </cacheField>
    <cacheField name="Inauguration (GANTT)-Prévu" numFmtId="0">
      <sharedItems containsNonDate="0" containsDate="1" containsString="0" containsBlank="1" minDate="2017-07-05T00:00:00" maxDate="2021-07-31T00:00:00"/>
    </cacheField>
    <cacheField name="Inauguration (GANTT)-Recalée" numFmtId="0">
      <sharedItems containsNonDate="0" containsDate="1" containsString="0" containsBlank="1" minDate="1899-12-30T00:00:00" maxDate="2024-03-02T00:00:00"/>
    </cacheField>
    <cacheField name="Fonds propres au démarrage" numFmtId="0">
      <sharedItems containsString="0" containsBlank="1" containsNumber="1" containsInteger="1" minValue="0" maxValue="368628"/>
    </cacheField>
    <cacheField name="Fonds propres actualisés" numFmtId="0">
      <sharedItems containsString="0" containsBlank="1" containsNumber="1" containsInteger="1" minValue="0" maxValue="368628"/>
    </cacheField>
    <cacheField name="IMPREVUS AU DEMARRAGE" numFmtId="3">
      <sharedItems containsBlank="1" containsMixedTypes="1" containsNumber="1" minValue="0" maxValue="481600.82"/>
    </cacheField>
    <cacheField name="IMPREVUS ACTUALISES" numFmtId="3">
      <sharedItems containsNonDate="0" containsString="0" containsBlank="1"/>
    </cacheField>
    <cacheField name="Ecart études (m)" numFmtId="176">
      <sharedItems containsSemiMixedTypes="0" containsString="0" containsNumber="1" minValue="-24.366666666666667" maxValue="67.733333333333334"/>
    </cacheField>
    <cacheField name="Ecart Inauguration (m)" numFmtId="176">
      <sharedItems containsString="0" containsBlank="1" containsNumber="1" minValue="-15.7" maxValue="1511.7333333333333"/>
    </cacheField>
    <cacheField name="RO successifs" numFmtId="0">
      <sharedItems containsBlank="1"/>
    </cacheField>
    <cacheField name="Résiliations marchés" numFmtId="0">
      <sharedItems containsBlank="1" longText="1"/>
    </cacheField>
    <cacheField name="Problémes chantier" numFmtId="0">
      <sharedItems containsBlank="1" longText="1"/>
    </cacheField>
    <cacheField name="Observations générales" numFmtId="0">
      <sharedItems containsBlank="1"/>
    </cacheField>
    <cacheField name="Priorisation" numFmtId="0">
      <sharedItems containsBlank="1"/>
    </cacheField>
    <cacheField name="PRP CA" numFmtId="0">
      <sharedItems containsString="0" containsBlank="1" containsNumber="1" minValue="1547410" maxValue="14323815"/>
    </cacheField>
    <cacheField name="PRP TTC " numFmtId="165">
      <sharedItems containsString="0" containsBlank="1" containsNumber="1" minValue="0" maxValue="15377280.710000001"/>
    </cacheField>
    <cacheField name="PRP TTC  " numFmtId="0">
      <sharedItems containsString="0" containsBlank="1" containsNumber="1" minValue="0" maxValue="14364754"/>
    </cacheField>
    <cacheField name="ECART PRP" numFmtId="165">
      <sharedItems containsString="0" containsBlank="1" containsNumber="1" minValue="-5522950" maxValue="3202767"/>
    </cacheField>
    <cacheField name="PRP /m² SF" numFmtId="165">
      <sharedItems containsBlank="1" containsMixedTypes="1" containsNumber="1" minValue="0" maxValue="3553.5016060600465"/>
    </cacheField>
    <cacheField name="PRP / lgt" numFmtId="0">
      <sharedItems containsBlank="1" containsMixedTypes="1" containsNumber="1" minValue="0" maxValue="345184.375"/>
    </cacheField>
    <cacheField name="BE" numFmtId="0">
      <sharedItems containsString="0" containsBlank="1" containsNumber="1" minValue="970725" maxValue="14981542.360255377"/>
    </cacheField>
    <cacheField name="BE PRIORISE" numFmtId="165">
      <sharedItems containsString="0" containsBlank="1" containsNumber="1" minValue="0" maxValue="12989943"/>
    </cacheField>
    <cacheField name="ECART BE" numFmtId="165">
      <sharedItems containsString="0" containsBlank="1" containsNumber="1" minValue="-9295451" maxValue="6233418.6500000004"/>
    </cacheField>
    <cacheField name="% BE / PRP" numFmtId="0">
      <sharedItems containsBlank="1" containsMixedTypes="1" containsNumber="1" minValue="0" maxValue="1.1647617113577102"/>
    </cacheField>
    <cacheField name="Tx rétrocession" numFmtId="0">
      <sharedItems containsString="0" containsBlank="1" containsNumber="1" minValue="0.37030000000000002" maxValue="0.4"/>
    </cacheField>
    <cacheField name="CREDIT IMPOT" numFmtId="0">
      <sharedItems containsString="0" containsBlank="1" containsNumber="1" minValue="0" maxValue="4234760"/>
    </cacheField>
    <cacheField name="DEFISC " numFmtId="0">
      <sharedItems containsString="0" containsBlank="1" containsNumber="1" minValue="0" maxValue="4422509" count="64">
        <n v="0"/>
        <n v="1090090"/>
        <n v="2932668"/>
        <n v="853424"/>
        <n v="1191366"/>
        <n v="75000"/>
        <n v="340124"/>
        <n v="1473759.38"/>
        <n v="706398.49"/>
        <n v="3195831"/>
        <n v="1480537"/>
        <n v="3816022.8"/>
        <n v="3263643"/>
        <n v="745095"/>
        <n v="1196851"/>
        <n v="750247"/>
        <n v="294297"/>
        <n v="929819"/>
        <n v="553441"/>
        <n v="2438948"/>
        <n v="4422509"/>
        <n v="736924"/>
        <n v="1905132"/>
        <n v="3287400"/>
        <n v="1600171.58"/>
        <n v="426409"/>
        <n v="2453735"/>
        <n v="1916369"/>
        <n v="642565"/>
        <n v="1042673"/>
        <n v="835967"/>
        <n v="614225"/>
        <n v="2234701"/>
        <n v="2572426.04"/>
        <n v="1296418.3899999999"/>
        <n v="1462622"/>
        <n v="863024"/>
        <n v="771141"/>
        <n v="803098"/>
        <n v="866175.59"/>
        <n v="2642685"/>
        <n v="443491.89"/>
        <n v="982780"/>
        <n v="1928374"/>
        <n v="1114138.939686775"/>
        <n v="2943213.0373618677"/>
        <n v="901691"/>
        <n v="1638956.14"/>
        <n v="1263947"/>
        <n v="1169377"/>
        <n v="1500443.2"/>
        <n v="1097171.1499999999"/>
        <n v="1552800.91"/>
        <n v="1629529"/>
        <n v="1181624"/>
        <n v="1260005"/>
        <n v="3808325"/>
        <n v="1301816"/>
        <n v="2271739"/>
        <m/>
        <n v="1134685.53"/>
        <n v="1210563"/>
        <n v="3306813"/>
        <n v="1736993"/>
      </sharedItems>
    </cacheField>
    <cacheField name="DEFISC / lgt" numFmtId="165">
      <sharedItems containsBlank="1" containsMixedTypes="1" containsNumber="1" minValue="0" maxValue="117689.6875"/>
    </cacheField>
    <cacheField name="ECART DEFISC" numFmtId="165">
      <sharedItems containsString="0" containsBlank="1" containsNumber="1" minValue="-378191.10999999987" maxValue="3306813"/>
    </cacheField>
    <cacheField name="PRÊT " numFmtId="0">
      <sharedItems containsString="0" containsBlank="1" containsNumber="1" minValue="289664" maxValue="10921593"/>
    </cacheField>
    <cacheField name="PRÊT 2" numFmtId="0">
      <sharedItems containsString="0" containsBlank="1" containsNumber="1" minValue="0" maxValue="8282245" count="69">
        <n v="2306000"/>
        <n v="2481000"/>
        <n v="2287466"/>
        <n v="6290107"/>
        <n v="1530227"/>
        <n v="2593661"/>
        <n v="335412"/>
        <n v="486159"/>
        <n v="1285412"/>
        <n v="3186090"/>
        <n v="1041347.98"/>
        <n v="6112292.5499999998"/>
        <n v="2895140.53"/>
        <n v="7538525.5099999998"/>
        <n v="6429606.3699999992"/>
        <n v="1240121"/>
        <n v="2362522"/>
        <n v="1395754"/>
        <n v="604971"/>
        <n v="1895079"/>
        <n v="1110259"/>
        <n v="4693223"/>
        <n v="8282245"/>
        <n v="1490303"/>
        <n v="3678947"/>
        <n v="5918673"/>
        <n v="3023907"/>
        <n v="864010"/>
        <n v="4684224"/>
        <n v="3571759.95"/>
        <n v="1260196"/>
        <n v="2051712"/>
        <n v="1314229"/>
        <n v="1199946"/>
        <n v="4540907.43"/>
        <n v="5272823.875"/>
        <n v="1784577"/>
        <n v="2706086"/>
        <n v="1596953.37"/>
        <n v="1359322"/>
        <n v="1544668"/>
        <n v="1657979"/>
        <n v="5285874"/>
        <n v="771556"/>
        <n v="2024741"/>
        <n v="3865450"/>
        <n v="2066681"/>
        <n v="5336445"/>
        <n v="1772076"/>
        <n v="3296474.06"/>
        <n v="2105582"/>
        <n v="2060772"/>
        <n v="3248644.89"/>
        <n v="1610935.1"/>
        <n v="2765236.62"/>
        <n v="2760459"/>
        <n v="1973763"/>
        <n v="2153894"/>
        <n v="7299442"/>
        <n v="2005966"/>
        <n v="3931799.2"/>
        <m/>
        <n v="1900232.32"/>
        <n v="1847820"/>
        <n v="5854059"/>
        <n v="3189669"/>
        <n v="0"/>
        <n v="3651857"/>
        <n v="3563771"/>
      </sharedItems>
    </cacheField>
    <cacheField name="FONCIER2" numFmtId="0">
      <sharedItems containsString="0" containsBlank="1" containsNumber="1" minValue="85556" maxValue="1887032"/>
    </cacheField>
    <cacheField name="CONSTRUCTION" numFmtId="0">
      <sharedItems containsString="0" containsBlank="1" containsNumber="1" minValue="249856" maxValue="7004220"/>
    </cacheField>
    <cacheField name="ECART PRÊT" numFmtId="165">
      <sharedItems containsString="0" containsBlank="1" containsNumber="1" minValue="-5067534" maxValue="1772076"/>
    </cacheField>
    <cacheField name="PRÊT / lgt" numFmtId="0">
      <sharedItems containsBlank="1" containsMixedTypes="1" containsNumber="1" minValue="0" maxValue="211869.6875"/>
    </cacheField>
    <cacheField name="PRÊT 1 %" numFmtId="165">
      <sharedItems containsString="0" containsBlank="1" containsNumber="1" containsInteger="1" minValue="0" maxValue="100000"/>
    </cacheField>
    <cacheField name="LBU y/c CAF " numFmtId="0">
      <sharedItems containsString="0" containsBlank="1" containsNumber="1" containsInteger="1" minValue="1" maxValue="2000000"/>
    </cacheField>
    <cacheField name="LBU " numFmtId="0">
      <sharedItems containsString="0" containsBlank="1" containsNumber="1" containsInteger="1" minValue="1" maxValue="1512000" count="52">
        <n v="1267528"/>
        <n v="1359605"/>
        <n v="355000"/>
        <n v="300000"/>
        <n v="380000"/>
        <n v="239587"/>
        <n v="119398"/>
        <n v="100000"/>
        <n v="620464"/>
        <n v="1"/>
        <n v="60000"/>
        <n v="790394"/>
        <n v="663000"/>
        <n v="995000"/>
        <n v="89905"/>
        <n v="384000"/>
        <n v="254997"/>
        <n v="177688"/>
        <n v="558000"/>
        <n v="165000"/>
        <n v="1245000"/>
        <n v="432000"/>
        <n v="880000"/>
        <n v="680000"/>
        <n v="225000"/>
        <n v="500000"/>
        <n v="360000"/>
        <n v="393831"/>
        <n v="1118000"/>
        <n v="925000"/>
        <n v="442750"/>
        <n v="600000"/>
        <n v="320000"/>
        <n v="420000"/>
        <n v="400000"/>
        <n v="406000"/>
        <n v="266000"/>
        <n v="1100000"/>
        <n v="200000"/>
        <n v="700000"/>
        <n v="529000"/>
        <n v="280000"/>
        <n v="656000"/>
        <n v="270000"/>
        <n v="800000"/>
        <n v="945000"/>
        <n v="480000"/>
        <n v="1512000"/>
        <n v="520000"/>
        <n v="660000"/>
        <m/>
        <n v="504000"/>
      </sharedItems>
    </cacheField>
    <cacheField name="CAF" numFmtId="0">
      <sharedItems containsString="0" containsBlank="1" containsNumber="1" containsInteger="1" minValue="0" maxValue="415000"/>
    </cacheField>
    <cacheField name="% LBU / PRP" numFmtId="9">
      <sharedItems containsBlank="1" containsMixedTypes="1" containsNumber="1" minValue="0" maxValue="0.35455953489530023"/>
    </cacheField>
    <cacheField name="PHBB" numFmtId="0">
      <sharedItems containsString="0" containsBlank="1" containsNumber="1" containsInteger="1" minValue="180000" maxValue="340000"/>
    </cacheField>
    <cacheField name="AUTRES SUBVENTIONS" numFmtId="0">
      <sharedItems containsString="0" containsBlank="1" containsNumber="1" minValue="0" maxValue="2455687.71" count="30">
        <m/>
        <n v="0"/>
        <n v="53682"/>
        <n v="12327"/>
        <n v="1120"/>
        <n v="1110"/>
        <n v="430"/>
        <n v="63128"/>
        <n v="15485"/>
        <n v="112859.97"/>
        <n v="5055"/>
        <n v="16912"/>
        <n v="26756"/>
        <n v="8336"/>
        <n v="112832"/>
        <n v="18936"/>
        <n v="46180"/>
        <n v="29518"/>
        <n v="101837"/>
        <n v="12414"/>
        <n v="11530"/>
        <n v="25000"/>
        <n v="30000"/>
        <n v="57556"/>
        <n v="35600"/>
        <n v="114303"/>
        <n v="2455687.71"/>
        <n v="1310249"/>
        <n v="21631"/>
        <n v="27272.05"/>
      </sharedItems>
    </cacheField>
    <cacheField name="ECART LBU y/c CAF" numFmtId="165">
      <sharedItems containsString="0" containsBlank="1" containsNumber="1" containsInteger="1" minValue="-2000000" maxValue="529000"/>
    </cacheField>
    <cacheField name="LBU / lgt_x000a_" numFmtId="165">
      <sharedItems containsBlank="1" containsMixedTypes="1" containsNumber="1" minValue="0" maxValue="46945.481481481482"/>
    </cacheField>
    <cacheField name="LBU+Défisc/lgt" numFmtId="165">
      <sharedItems containsBlank="1" containsMixedTypes="1" containsNumber="1" minValue="0" maxValue="133314.6875"/>
    </cacheField>
    <cacheField name="ECART LBU/lgt" numFmtId="165">
      <sharedItems containsBlank="1" containsMixedTypes="1" containsNumber="1" minValue="-26896.551724137931" maxValue="23000"/>
    </cacheField>
    <cacheField name="Loyer max" numFmtId="4">
      <sharedItems containsString="0" containsBlank="1" containsNumber="1" minValue="4.9400000000000004" maxValue="6.47"/>
    </cacheField>
    <cacheField name="Loyer d'équilibre" numFmtId="4">
      <sharedItems containsString="0" containsBlank="1" containsNumber="1" minValue="4.8499999999999996" maxValue="6.16"/>
    </cacheField>
    <cacheField name="PRP FRAFU hors TVA résiduelle" numFmtId="165">
      <sharedItems containsString="0" containsBlank="1" containsNumber="1" minValue="0" maxValue="2467086.73961312"/>
    </cacheField>
    <cacheField name="FRAFU" numFmtId="165">
      <sharedItems containsString="0" containsBlank="1" containsNumber="1" minValue="0" maxValue="1660000"/>
    </cacheField>
    <cacheField name="AIDES ETAT / lgt" numFmtId="165">
      <sharedItems containsBlank="1" containsMixedTypes="1" containsNumber="1" minValue="0" maxValue="148599.5"/>
    </cacheField>
    <cacheField name="SUBVENTION COLLECTIVITE FRAFU" numFmtId="165">
      <sharedItems containsString="0" containsBlank="1" containsNumber="1" minValue="0" maxValue="1220907.39295"/>
    </cacheField>
    <cacheField name="AIDES PUBLIQUES / lgt" numFmtId="165">
      <sharedItems containsBlank="1" containsMixedTypes="1" containsNumber="1" minValue="0" maxValue="267168.17749999999"/>
    </cacheField>
    <cacheField name="% AIDES PUBLIQUES" numFmtId="9">
      <sharedItems containsBlank="1" containsMixedTypes="1" containsNumber="1" minValue="0.13006200756284431" maxValue="0.62937481320481981"/>
    </cacheField>
    <cacheField name="CESSION FONCIERE" numFmtId="165">
      <sharedItems containsString="0" containsBlank="1" containsNumber="1" minValue="0" maxValue="770132.02990000008"/>
    </cacheField>
    <cacheField name="FONDS PROPRES FRAFU" numFmtId="165">
      <sharedItems containsNonDate="0" containsString="0" containsBlank="1"/>
    </cacheField>
    <cacheField name="FONDS PROPRES CONSTRUCTION" numFmtId="165">
      <sharedItems containsString="0" containsBlank="1" containsNumber="1" minValue="0" maxValue="822994.74" count="31">
        <n v="1409"/>
        <n v="70784"/>
        <n v="0"/>
        <n v="253357.88"/>
        <n v="20258"/>
        <n v="90483"/>
        <n v="224525.80721369086"/>
        <n v="51532.92"/>
        <m/>
        <n v="123760"/>
        <n v="159192"/>
        <n v="717901.37"/>
        <n v="50607"/>
        <n v="406263"/>
        <n v="179385.62"/>
        <n v="171546.14266916923"/>
        <n v="688998.25569579669"/>
        <n v="822994.74"/>
        <n v="580982.02"/>
        <n v="200248.57"/>
        <n v="23860"/>
        <n v="327805"/>
        <n v="407854.73"/>
        <n v="81677.029566819663"/>
        <n v="119074.81"/>
        <n v="369004"/>
        <n v="66994"/>
        <n v="240000"/>
        <n v="250000"/>
        <n v="190000"/>
        <n v="200000"/>
      </sharedItems>
    </cacheField>
    <cacheField name="PRP GLOBAL" numFmtId="43">
      <sharedItems containsString="0" containsBlank="1" containsNumber="1" minValue="0" maxValue="16831840.73961312"/>
    </cacheField>
    <cacheField name="HONORAIRES" numFmtId="3">
      <sharedItems containsString="0" containsBlank="1" containsNumber="1" minValue="79167" maxValue="965006"/>
    </cacheField>
    <cacheField name="CUMUL" numFmtId="3">
      <sharedItems containsMixedTypes="1" containsNumber="1" minValue="0" maxValue="482504"/>
    </cacheField>
    <cacheField name="NH PROG" numFmtId="0">
      <sharedItems containsNonDate="0" containsDate="1" containsString="0" containsBlank="1" minDate="2009-12-14T00:00:00" maxDate="2017-12-05T00:00:00"/>
    </cacheField>
    <cacheField name="NH PROG 10%" numFmtId="3">
      <sharedItems containsString="0" containsBlank="1" containsNumber="1" containsInteger="1" minValue="0" maxValue="210013"/>
    </cacheField>
    <cacheField name="NH ESQ" numFmtId="0">
      <sharedItems containsNonDate="0" containsDate="1" containsString="0" containsBlank="1" minDate="2017-12-11T00:00:00" maxDate="2017-12-22T00:00:00"/>
    </cacheField>
    <cacheField name="NH ESQ 5%" numFmtId="0">
      <sharedItems containsString="0" containsBlank="1" containsNumber="1" containsInteger="1" minValue="7809" maxValue="20695"/>
    </cacheField>
    <cacheField name="NH APS" numFmtId="14">
      <sharedItems containsDate="1" containsBlank="1" containsMixedTypes="1" minDate="2004-02-28T00:00:00" maxDate="2018-02-15T00:00:00"/>
    </cacheField>
    <cacheField name="NH APS 5%" numFmtId="3">
      <sharedItems containsString="0" containsBlank="1" containsNumber="1" minValue="0" maxValue="51495"/>
    </cacheField>
    <cacheField name="NH PC" numFmtId="14">
      <sharedItems containsNonDate="0" containsDate="1" containsString="0" containsBlank="1" minDate="2011-12-15T00:00:00" maxDate="2018-02-15T00:00:00"/>
    </cacheField>
    <cacheField name="NH PC 10%" numFmtId="3">
      <sharedItems containsString="0" containsBlank="1" containsNumber="1" minValue="0" maxValue="121749"/>
    </cacheField>
    <cacheField name="NH APD" numFmtId="0">
      <sharedItems containsDate="1" containsBlank="1" containsMixedTypes="1" minDate="1932-06-11T00:00:00" maxDate="2017-12-14T00:00:00"/>
    </cacheField>
    <cacheField name="NH APD 10%" numFmtId="3">
      <sharedItems containsString="0" containsBlank="1" containsNumber="1" minValue="10005" maxValue="113602"/>
    </cacheField>
    <cacheField name="NH PRO" numFmtId="0">
      <sharedItems containsDate="1" containsBlank="1" containsMixedTypes="1" minDate="1900-01-02T23:49:04" maxDate="1899-12-31T13:50:04"/>
    </cacheField>
    <cacheField name="NH PRO 10%" numFmtId="3">
      <sharedItems containsString="0" containsBlank="1" containsNumber="1" containsInteger="1" minValue="0" maxValue="144751"/>
    </cacheField>
    <cacheField name="NH CAO" numFmtId="0">
      <sharedItems containsNonDate="0" containsString="0" containsBlank="1"/>
    </cacheField>
    <cacheField name="NH CAO 5%" numFmtId="0">
      <sharedItems containsNonDate="0" containsString="0" containsBlank="1"/>
    </cacheField>
    <cacheField name="NH VEFA" numFmtId="164">
      <sharedItems containsDate="1" containsBlank="1" containsMixedTypes="1" minDate="2016-07-13T00:00:00" maxDate="2017-12-22T00:00:00"/>
    </cacheField>
    <cacheField name="NH VEFA 5%" numFmtId="3">
      <sharedItems containsString="0" containsBlank="1" containsNumber="1" minValue="7178" maxValue="129228"/>
    </cacheField>
    <cacheField name="NH OS" numFmtId="164">
      <sharedItems containsDate="1" containsBlank="1" containsMixedTypes="1" minDate="2016-07-13T00:00:00" maxDate="2017-12-24T00:00:00"/>
    </cacheField>
    <cacheField name="NH OS 10%" numFmtId="3">
      <sharedItems containsString="0" containsBlank="1" containsNumber="1" minValue="14356" maxValue="68549"/>
    </cacheField>
    <cacheField name="NH Fondations" numFmtId="0">
      <sharedItems containsNonDate="0" containsDate="1" containsString="0" containsBlank="1" minDate="2016-07-13T00:00:00" maxDate="2018-02-23T00:00:00"/>
    </cacheField>
    <cacheField name="NH Fondations 5%" numFmtId="0">
      <sharedItems containsString="0" containsBlank="1" containsNumber="1" minValue="3735" maxValue="65916.894009216587"/>
    </cacheField>
    <cacheField name="NH R+1" numFmtId="0">
      <sharedItems containsNonDate="0" containsDate="1" containsString="0" containsBlank="1" minDate="2016-10-17T00:00:00" maxDate="2017-11-09T00:00:00"/>
    </cacheField>
    <cacheField name="NH R+1 5%" numFmtId="0">
      <sharedItems containsString="0" containsBlank="1" containsNumber="1" minValue="5451" maxValue="12634"/>
    </cacheField>
    <cacheField name="NH HDE" numFmtId="0">
      <sharedItems containsNonDate="0" containsDate="1" containsString="0" containsBlank="1" minDate="2017-03-28T00:00:00" maxDate="2017-12-15T00:00:00"/>
    </cacheField>
    <cacheField name="NH HDE 5%" numFmtId="0">
      <sharedItems containsBlank="1" containsMixedTypes="1" containsNumber="1" minValue="5070.5345622119812" maxValue="16776"/>
    </cacheField>
    <cacheField name="NH HDA" numFmtId="0">
      <sharedItems containsNonDate="0" containsDate="1" containsString="0" containsBlank="1" minDate="2017-06-16T00:00:00" maxDate="2017-09-08T00:00:00"/>
    </cacheField>
    <cacheField name="NH HDA 5%" numFmtId="0">
      <sharedItems containsString="0" containsBlank="1" containsNumber="1" containsInteger="1" minValue="7555" maxValue="7555"/>
    </cacheField>
    <cacheField name="NH CLOISONS" numFmtId="0">
      <sharedItems containsNonDate="0" containsDate="1" containsString="0" containsBlank="1" minDate="2017-07-05T00:00:00" maxDate="2017-11-17T00:00:00"/>
    </cacheField>
    <cacheField name="NH Cloisons 5%" numFmtId="0">
      <sharedItems containsString="0" containsBlank="1" containsNumber="1" minValue="7198" maxValue="15909"/>
    </cacheField>
    <cacheField name="NH DAT" numFmtId="3">
      <sharedItems containsBlank="1" containsMixedTypes="1" containsNumber="1" containsInteger="1" minValue="12860" maxValue="121749"/>
    </cacheField>
    <cacheField name="NH DAT 3%" numFmtId="164">
      <sharedItems containsNonDate="0" containsString="0" containsBlank="1"/>
    </cacheField>
    <cacheField name="NH RDC" numFmtId="0">
      <sharedItems containsNonDate="0" containsString="0" containsBlank="1"/>
    </cacheField>
    <cacheField name="NH RDC 2%" numFmtId="164">
      <sharedItems containsNonDate="0" containsString="0" containsBlank="1"/>
    </cacheField>
    <cacheField name="Bilan final" numFmtId="164">
      <sharedItems containsNonDate="0" containsString="0" containsBlank="1"/>
    </cacheField>
    <cacheField name="NH bilan 5%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2">
  <r>
    <s v="DESIRE"/>
    <s v="Petite-Ile"/>
    <s v="CIVIS"/>
    <x v="0"/>
    <s v="PRLC 0099"/>
    <s v="FHO"/>
    <s v="RTA"/>
    <s v="patrimoine"/>
    <s v="oui"/>
    <m/>
    <s v="rétrocession voirie Mairie à faire : solliciter la Commune_x000a_"/>
    <m/>
    <m/>
    <m/>
    <n v="9556"/>
    <n v="407560.68000000005"/>
    <n v="222180"/>
    <n v="15094.840000000002"/>
    <n v="42.649715362076186"/>
    <n v="23.250313938886563"/>
    <n v="100.51347010789659"/>
    <n v="8228.8888888888887"/>
    <n v="353.92592592592592"/>
    <m/>
    <n v="0.23131540393470068"/>
    <s v="UC"/>
    <m/>
    <m/>
    <s v="LLTS"/>
    <n v="27"/>
    <m/>
    <n v="27"/>
    <m/>
    <m/>
    <n v="2110.92"/>
    <n v="2210.4499999999998"/>
    <n v="81.868518518518513"/>
    <m/>
    <n v="0.22"/>
    <n v="0.3"/>
    <n v="0.3"/>
    <n v="0.19"/>
    <n v="1400"/>
    <m/>
    <n v="0"/>
    <n v="3"/>
    <s v="collectif"/>
    <s v="non"/>
    <m/>
    <d v="2011-09-30T00:00:00"/>
    <s v="SO"/>
    <s v="SO"/>
    <m/>
    <d v="2010-11-09T00:00:00"/>
    <m/>
    <m/>
    <m/>
    <m/>
    <m/>
    <m/>
    <m/>
    <m/>
    <m/>
    <d v="1901-12-31T00:00:00"/>
    <d v="1902-12-31T00:00:00"/>
    <m/>
    <m/>
    <m/>
    <m/>
    <m/>
    <m/>
    <m/>
    <m/>
    <s v="SO"/>
    <m/>
    <s v="SO"/>
    <s v="SO"/>
    <m/>
    <m/>
    <s v="SO"/>
    <m/>
    <m/>
    <d v="2011-06-27T00:00:00"/>
    <n v="2011"/>
    <n v="7.666666666666667"/>
    <n v="15"/>
    <n v="16"/>
    <n v="24"/>
    <n v="24"/>
    <n v="9"/>
    <n v="8"/>
    <n v="11101"/>
    <n v="99909"/>
    <s v="ok"/>
    <d v="2012-09-27T00:00:00"/>
    <d v="2013-07-09T00:00:00"/>
    <m/>
    <d v="2013-11-28T00:00:00"/>
    <m/>
    <d v="2013-07-26T00:00:00"/>
    <d v="2013-07-26T00:00:00"/>
    <n v="2013"/>
    <m/>
    <m/>
    <m/>
    <m/>
    <m/>
    <m/>
    <m/>
    <d v="2014-07-09T00:00:00"/>
    <s v="ok"/>
    <m/>
    <d v="2014-10-14T00:00:00"/>
    <s v="attente doc signé"/>
    <s v="SO"/>
    <m/>
    <s v="SO"/>
    <m/>
    <m/>
    <m/>
    <d v="2015-04-20T00:00:00"/>
    <d v="2016-02-24T00:00:00"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3-07-26T00:00:00"/>
    <m/>
    <m/>
    <m/>
    <m/>
    <n v="0"/>
    <n v="1382.7"/>
    <m/>
    <s v="Lot Charpente : BCCM par CMOI_x000a_Lot Peinture/Sol : RSOP par Corail_x000a_Lot Etanchéité : RVD par Corail_x000a_Lot ECS : Sunzil par Gaia _x000a_Soit 4 lots / 14 lots  =  28 % "/>
    <m/>
    <m/>
    <m/>
    <m/>
    <n v="3574937"/>
    <n v="3574937"/>
    <n v="0"/>
    <n v="1693.5445208724157"/>
    <n v="132405.07407407407"/>
    <m/>
    <n v="0"/>
    <n v="0"/>
    <n v="0"/>
    <m/>
    <n v="0"/>
    <x v="0"/>
    <n v="0"/>
    <n v="0"/>
    <n v="2306000"/>
    <x v="0"/>
    <n v="511146"/>
    <n v="1794854"/>
    <n v="0"/>
    <n v="85407.407407407401"/>
    <m/>
    <n v="1362028"/>
    <x v="0"/>
    <n v="94500"/>
    <n v="0.35455953489530023"/>
    <m/>
    <x v="0"/>
    <n v="0"/>
    <n v="46945.481481481482"/>
    <m/>
    <n v="0"/>
    <m/>
    <m/>
    <n v="1734704.6581725003"/>
    <n v="660000"/>
    <n v="71389.925925925927"/>
    <n v="767026.95965000009"/>
    <n v="99798.331838888887"/>
    <n v="0.52964624417787332"/>
    <n v="222180"/>
    <m/>
    <x v="0"/>
    <n v="5309641.6581725003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JULES VIENNE"/>
    <s v="Petite-Ile"/>
    <s v="CIVIS"/>
    <x v="0"/>
    <s v="PRLC 0098"/>
    <s v="FMA"/>
    <s v="SRI"/>
    <s v="patrimoine"/>
    <m/>
    <m/>
    <s v="vente des lots à faire : signature SICA en mai 2017_x000a_voie à rétrocéder à l'issue du contentieux"/>
    <m/>
    <m/>
    <m/>
    <n v="9462"/>
    <n v="874165.66"/>
    <n v="262890"/>
    <n v="29138.855333333333"/>
    <n v="92.386985838089203"/>
    <n v="27.783766645529486"/>
    <n v="117.46438848277958"/>
    <n v="8763"/>
    <n v="315.39999999999998"/>
    <n v="379.2"/>
    <n v="0.23652927499471571"/>
    <s v="UC"/>
    <m/>
    <m/>
    <s v="LLTS"/>
    <n v="30"/>
    <m/>
    <n v="30"/>
    <m/>
    <m/>
    <n v="2238.04"/>
    <n v="2238.04"/>
    <n v="74.601333333333329"/>
    <m/>
    <n v="0.17"/>
    <n v="0.37"/>
    <n v="0.33"/>
    <n v="0.13"/>
    <n v="1419.56"/>
    <n v="664"/>
    <n v="7.0175438596491224E-2"/>
    <m/>
    <s v="collectif"/>
    <m/>
    <m/>
    <d v="2011-09-30T00:00:00"/>
    <s v="SO"/>
    <s v="SO"/>
    <m/>
    <d v="2010-11-09T00:00:00"/>
    <m/>
    <m/>
    <m/>
    <m/>
    <m/>
    <m/>
    <m/>
    <m/>
    <m/>
    <d v="1901-12-31T00:00:00"/>
    <d v="1902-12-31T00:00:00"/>
    <m/>
    <m/>
    <m/>
    <m/>
    <m/>
    <m/>
    <m/>
    <m/>
    <s v="SO"/>
    <m/>
    <s v="SO"/>
    <s v="SO"/>
    <m/>
    <m/>
    <s v="SO"/>
    <m/>
    <m/>
    <d v="2012-02-06T00:00:00"/>
    <n v="2012"/>
    <n v="15.133333333333333"/>
    <n v="15"/>
    <n v="16"/>
    <n v="21"/>
    <n v="23"/>
    <n v="6"/>
    <n v="7"/>
    <n v="11928"/>
    <n v="71568"/>
    <s v="ok"/>
    <d v="2013-05-06T00:00:00"/>
    <d v="2013-11-23T00:00:00"/>
    <m/>
    <d v="2014-01-30T00:00:00"/>
    <m/>
    <d v="2014-01-24T00:00:00"/>
    <d v="2014-01-24T00:00:00"/>
    <n v="2014"/>
    <m/>
    <m/>
    <m/>
    <s v="ok"/>
    <s v="ok"/>
    <m/>
    <d v="2016-11-23T00:00:00"/>
    <d v="2014-11-23T00:00:00"/>
    <s v="ok"/>
    <m/>
    <d v="2014-10-13T00:00:00"/>
    <d v="2014-10-16T00:00:00"/>
    <m/>
    <m/>
    <s v="SO"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4-01-24T00:00:00"/>
    <m/>
    <m/>
    <m/>
    <m/>
    <n v="0"/>
    <n v="1388.7666666666667"/>
    <m/>
    <s v="Lot Couverture : BCCM par GMF_x000a_soit 1 lot sur 14_x000a_2 RO"/>
    <m/>
    <m/>
    <m/>
    <m/>
    <n v="3911389"/>
    <n v="3911389"/>
    <n v="0"/>
    <n v="1747.6850279709031"/>
    <n v="130379.63333333333"/>
    <m/>
    <m/>
    <n v="0"/>
    <n v="0"/>
    <m/>
    <n v="0"/>
    <x v="0"/>
    <n v="0"/>
    <n v="0"/>
    <n v="2481000"/>
    <x v="1"/>
    <n v="486094"/>
    <n v="1994906"/>
    <n v="0"/>
    <n v="82700"/>
    <m/>
    <n v="1359605"/>
    <x v="1"/>
    <m/>
    <n v="0.34760158092176463"/>
    <m/>
    <x v="0"/>
    <n v="0"/>
    <n v="45320.166666666664"/>
    <m/>
    <n v="0"/>
    <m/>
    <m/>
    <n v="2106869"/>
    <n v="550000"/>
    <n v="63653.5"/>
    <n v="1220907.39295"/>
    <n v="104350.41309833335"/>
    <n v="0.5439291445742479"/>
    <n v="262890"/>
    <m/>
    <x v="1"/>
    <n v="6018258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Les Pechers "/>
    <s v="Tampon"/>
    <s v="CA SUD"/>
    <x v="1"/>
    <s v="PRLC 0105"/>
    <s v="FMA"/>
    <s v="SRI"/>
    <s v="patrimoine"/>
    <m/>
    <m/>
    <m/>
    <m/>
    <m/>
    <m/>
    <n v="3280"/>
    <n v="700000"/>
    <n v="700000"/>
    <n v="35000"/>
    <n v="213.41463414634146"/>
    <n v="213.41463414634146"/>
    <n v="409.99209300963486"/>
    <n v="35000"/>
    <n v="164"/>
    <m/>
    <n v="0.52053353658536583"/>
    <s v="UC"/>
    <m/>
    <m/>
    <s v="LLS"/>
    <n v="20"/>
    <n v="20"/>
    <m/>
    <m/>
    <m/>
    <n v="1707.35"/>
    <n v="1707.35"/>
    <n v="85.367499999999993"/>
    <n v="0"/>
    <n v="0"/>
    <n v="0.1"/>
    <n v="0.9"/>
    <n v="0"/>
    <n v="461.7"/>
    <m/>
    <n v="0"/>
    <n v="2"/>
    <s v="collectif"/>
    <m/>
    <m/>
    <d v="2011-09-30T00:00:00"/>
    <s v="INGEPAR"/>
    <s v="LS 4"/>
    <m/>
    <d v="2011-06-28T00:00:00"/>
    <m/>
    <m/>
    <m/>
    <m/>
    <m/>
    <m/>
    <m/>
    <m/>
    <m/>
    <d v="1901-12-31T00:00:00"/>
    <d v="1902-12-31T00:00:00"/>
    <m/>
    <m/>
    <m/>
    <m/>
    <m/>
    <m/>
    <m/>
    <s v="BELLANGER"/>
    <d v="2012-12-22T00:00:00"/>
    <m/>
    <n v="3434319.2948090113"/>
    <s v="SO"/>
    <m/>
    <d v="2012-05-15T00:00:00"/>
    <d v="2013-07-22T00:00:00"/>
    <n v="1.7333333333333334"/>
    <m/>
    <d v="2011-12-22T00:00:00"/>
    <n v="2011"/>
    <n v="5.9"/>
    <n v="15"/>
    <n v="16"/>
    <n v="19"/>
    <n v="20"/>
    <n v="4"/>
    <n v="4"/>
    <n v="10566"/>
    <n v="42264"/>
    <s v="ok"/>
    <d v="2013-03-22T00:00:00"/>
    <d v="2013-08-14T00:00:00"/>
    <m/>
    <d v="2013-06-04T00:00:00"/>
    <m/>
    <d v="2013-08-22T00:00:00"/>
    <d v="2013-09-12T00:00:00"/>
    <n v="2013"/>
    <m/>
    <m/>
    <m/>
    <m/>
    <m/>
    <m/>
    <m/>
    <d v="2014-08-14T00:00:00"/>
    <s v="13/10/14 DPR"/>
    <s v="ok"/>
    <s v="ok"/>
    <d v="2014-10-20T00:00:00"/>
    <s v="ok"/>
    <m/>
    <d v="2015-06-23T00:00:00"/>
    <m/>
    <m/>
    <m/>
    <s v="ok"/>
    <s v="ok"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18-03-15T00:00:00"/>
    <n v="0"/>
    <m/>
    <d v="2013-09-12T00:00:00"/>
    <m/>
    <m/>
    <m/>
    <m/>
    <n v="0"/>
    <n v="1384.3"/>
    <m/>
    <m/>
    <m/>
    <m/>
    <m/>
    <m/>
    <n v="3732556"/>
    <n v="3732556"/>
    <n v="0"/>
    <n v="2186.1692095938151"/>
    <n v="186627.8"/>
    <n v="3491780"/>
    <m/>
    <n v="-3491780"/>
    <n v="0.95513835023506677"/>
    <m/>
    <n v="1090090"/>
    <x v="1"/>
    <n v="54504.5"/>
    <n v="0"/>
    <n v="2287466"/>
    <x v="2"/>
    <n v="616923"/>
    <n v="1670543"/>
    <n v="0"/>
    <n v="114373.3"/>
    <n v="0"/>
    <n v="355000"/>
    <x v="2"/>
    <m/>
    <n v="9.5109088785272078E-2"/>
    <m/>
    <x v="1"/>
    <n v="0"/>
    <n v="17750"/>
    <m/>
    <n v="0"/>
    <m/>
    <m/>
    <n v="0"/>
    <n v="0"/>
    <n v="72254.5"/>
    <n v="0"/>
    <n v="72254.5"/>
    <n v="0.38715829045833472"/>
    <m/>
    <m/>
    <x v="2"/>
    <n v="3732556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LLS  Les Rosiers "/>
    <s v="Tampon"/>
    <s v="CA SUD"/>
    <x v="1"/>
    <s v="PRLC 0124"/>
    <m/>
    <m/>
    <s v="patrimoine"/>
    <m/>
    <m/>
    <m/>
    <m/>
    <m/>
    <m/>
    <n v="5169"/>
    <n v="908948"/>
    <n v="908948"/>
    <n v="12119.306666666667"/>
    <n v="175.84600502998646"/>
    <n v="175.84600502998646"/>
    <n v="136.08432021319601"/>
    <n v="12119.306666666667"/>
    <n v="68.92"/>
    <m/>
    <n v="1.2921841748887597"/>
    <s v="UB"/>
    <m/>
    <m/>
    <s v="LLS"/>
    <n v="51"/>
    <n v="51"/>
    <m/>
    <m/>
    <m/>
    <n v="4837.3599999999997"/>
    <n v="4837.3599999999997"/>
    <n v="94.850196078431367"/>
    <m/>
    <m/>
    <m/>
    <m/>
    <m/>
    <n v="900"/>
    <n v="0"/>
    <n v="0"/>
    <m/>
    <s v="collectif"/>
    <s v="oui"/>
    <m/>
    <d v="2011-09-30T00:00:00"/>
    <s v="INGEPAR"/>
    <s v="LS 11"/>
    <m/>
    <d v="2011-06-28T00:00:00"/>
    <d v="2015-11-09T00:00:00"/>
    <m/>
    <m/>
    <m/>
    <m/>
    <m/>
    <m/>
    <m/>
    <m/>
    <d v="1901-12-31T00:00:00"/>
    <d v="1902-12-31T00:00:00"/>
    <m/>
    <m/>
    <m/>
    <m/>
    <m/>
    <m/>
    <m/>
    <s v="BARET/GILLOT"/>
    <d v="2011-12-21T00:00:00"/>
    <m/>
    <n v="9794319.2948090117"/>
    <s v="SO"/>
    <m/>
    <d v="2012-09-24T00:00:00"/>
    <d v="2013-10-21T00:00:00"/>
    <n v="3.8333333333333335"/>
    <m/>
    <d v="2011-12-21T00:00:00"/>
    <n v="2011"/>
    <n v="5.8666666666666663"/>
    <n v="22"/>
    <n v="23"/>
    <n v="22"/>
    <n v="25"/>
    <n v="0"/>
    <n v="2"/>
    <n v="30568"/>
    <n v="0"/>
    <s v="ok"/>
    <d v="2013-10-21T00:00:00"/>
    <d v="2013-10-21T00:00:00"/>
    <m/>
    <d v="2013-12-03T00:00:00"/>
    <m/>
    <d v="2014-02-13T00:00:00"/>
    <d v="2014-02-13T00:00:00"/>
    <n v="2014"/>
    <m/>
    <m/>
    <m/>
    <m/>
    <m/>
    <m/>
    <m/>
    <d v="2014-10-21T00:00:00"/>
    <s v="14/10/14 DPR"/>
    <s v="ok"/>
    <m/>
    <m/>
    <m/>
    <m/>
    <d v="2015-04-27T00:00:00"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4-02-13T00:00:00"/>
    <m/>
    <m/>
    <m/>
    <m/>
    <n v="0"/>
    <n v="1389.4333333333334"/>
    <m/>
    <m/>
    <m/>
    <m/>
    <m/>
    <m/>
    <n v="9522775"/>
    <n v="9522775"/>
    <n v="0"/>
    <n v="1968.5892718342238"/>
    <n v="186721.07843137256"/>
    <m/>
    <m/>
    <n v="0"/>
    <n v="0"/>
    <m/>
    <n v="2932668"/>
    <x v="2"/>
    <n v="57503.294117647056"/>
    <n v="0"/>
    <n v="6290107"/>
    <x v="3"/>
    <n v="1887032"/>
    <n v="4403075"/>
    <n v="0"/>
    <n v="123335.43137254902"/>
    <n v="0"/>
    <n v="300000"/>
    <x v="3"/>
    <m/>
    <n v="3.150342205922118E-2"/>
    <m/>
    <x v="1"/>
    <n v="0"/>
    <n v="5882.3529411764703"/>
    <m/>
    <n v="0"/>
    <m/>
    <m/>
    <n v="0"/>
    <n v="0"/>
    <n v="63385.647058823532"/>
    <n v="0"/>
    <n v="63385.647058823532"/>
    <n v="0.33946701460446144"/>
    <m/>
    <m/>
    <x v="2"/>
    <n v="9522775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'titCanal         LLTS"/>
    <s v="St Leu"/>
    <s v="TCO"/>
    <x v="1"/>
    <s v="PRLC 0094"/>
    <m/>
    <m/>
    <s v="patrimoine"/>
    <m/>
    <m/>
    <s v="rétrocession voirie Mairie à faire / DA en attente validation par Commune_x000a_DOE transmis à commune"/>
    <m/>
    <m/>
    <m/>
    <m/>
    <m/>
    <m/>
    <m/>
    <m/>
    <m/>
    <m/>
    <m/>
    <m/>
    <m/>
    <m/>
    <m/>
    <m/>
    <m/>
    <s v="LLTS"/>
    <n v="16"/>
    <m/>
    <n v="16"/>
    <m/>
    <m/>
    <n v="1432.77"/>
    <n v="1432.77"/>
    <n v="89.548124999999999"/>
    <m/>
    <m/>
    <m/>
    <m/>
    <m/>
    <m/>
    <m/>
    <m/>
    <n v="2.5"/>
    <s v="collectif"/>
    <s v="oui"/>
    <m/>
    <d v="2011-09-30T00:00:00"/>
    <s v="INGEPAR"/>
    <s v="LS 5"/>
    <m/>
    <d v="2011-06-28T00:00:00"/>
    <d v="2015-10-14T00:00:00"/>
    <m/>
    <m/>
    <m/>
    <m/>
    <m/>
    <m/>
    <m/>
    <m/>
    <d v="1901-12-31T00:00:00"/>
    <d v="1902-12-31T00:00:00"/>
    <m/>
    <m/>
    <m/>
    <m/>
    <m/>
    <m/>
    <m/>
    <m/>
    <d v="2012-12-23T00:00:00"/>
    <m/>
    <m/>
    <s v="SO"/>
    <m/>
    <d v="2012-08-16T00:00:00"/>
    <d v="2013-12-23T00:00:00"/>
    <n v="2.1666666666666665"/>
    <m/>
    <d v="2012-02-01T00:00:00"/>
    <n v="2012"/>
    <n v="7.2666666666666666"/>
    <n v="13"/>
    <n v="14"/>
    <n v="24"/>
    <n v="24"/>
    <n v="11"/>
    <n v="10"/>
    <n v="7110"/>
    <n v="78210"/>
    <s v="ok"/>
    <d v="2013-03-01T00:00:00"/>
    <d v="2014-02-18T00:00:00"/>
    <m/>
    <d v="2014-02-19T00:00:00"/>
    <m/>
    <d v="2014-02-26T00:00:00"/>
    <d v="2014-02-26T00:00:00"/>
    <n v="2014"/>
    <m/>
    <m/>
    <m/>
    <m/>
    <m/>
    <d v="2014-05-28T00:00:00"/>
    <m/>
    <d v="2015-02-18T00:00:00"/>
    <s v="ok"/>
    <m/>
    <d v="2014-10-07T00:00:00"/>
    <d v="2014-10-09T00:00:00"/>
    <s v="ok"/>
    <m/>
    <d v="2015-10-13T00:00:00"/>
    <m/>
    <m/>
    <m/>
    <s v="ok"/>
    <s v="ok"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m/>
    <m/>
    <m/>
    <m/>
    <m/>
    <n v="2817333"/>
    <n v="2817333"/>
    <n v="0"/>
    <n v="1966.3539856362152"/>
    <n v="176083.3125"/>
    <m/>
    <m/>
    <n v="0"/>
    <n v="0"/>
    <m/>
    <n v="853424"/>
    <x v="3"/>
    <n v="53339"/>
    <n v="0"/>
    <n v="1530227"/>
    <x v="4"/>
    <n v="304961"/>
    <n v="1225266"/>
    <n v="0"/>
    <n v="95639.1875"/>
    <n v="0"/>
    <n v="421063"/>
    <x v="4"/>
    <m/>
    <n v="0.13487933446277028"/>
    <m/>
    <x v="2"/>
    <n v="-41063"/>
    <n v="23750"/>
    <m/>
    <n v="-2566.4375"/>
    <m/>
    <m/>
    <n v="0"/>
    <n v="0"/>
    <n v="77089"/>
    <n v="0"/>
    <n v="77089"/>
    <n v="0.46171877778297693"/>
    <n v="145958"/>
    <m/>
    <x v="2"/>
    <n v="2817333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Oiseaux du Paradis "/>
    <s v="St Pierre"/>
    <s v="CIVIS"/>
    <x v="1"/>
    <s v="PRLC 0123"/>
    <s v="NBL"/>
    <m/>
    <s v="patrimoine"/>
    <m/>
    <m/>
    <m/>
    <m/>
    <m/>
    <m/>
    <n v="4531"/>
    <n v="799078"/>
    <n v="799078"/>
    <n v="34742.521739130432"/>
    <n v="176.35797837122047"/>
    <n v="176.35797837122047"/>
    <n v="416.95086825847386"/>
    <n v="34742.521739130432"/>
    <n v="197"/>
    <m/>
    <n v="0.42297064665636724"/>
    <s v="U3"/>
    <m/>
    <m/>
    <s v="LLS"/>
    <n v="23"/>
    <n v="23"/>
    <m/>
    <m/>
    <m/>
    <n v="1916.48"/>
    <n v="1916.48"/>
    <n v="83.325217391304349"/>
    <m/>
    <m/>
    <m/>
    <m/>
    <m/>
    <m/>
    <m/>
    <n v="0"/>
    <n v="2.5"/>
    <s v="collectif"/>
    <s v="non"/>
    <m/>
    <d v="2011-09-30T00:00:00"/>
    <s v="INGEPAR"/>
    <s v="LS 12"/>
    <m/>
    <d v="2011-07-06T00:00:00"/>
    <m/>
    <m/>
    <m/>
    <m/>
    <m/>
    <m/>
    <m/>
    <m/>
    <m/>
    <d v="1901-12-31T00:00:00"/>
    <d v="1902-12-31T00:00:00"/>
    <m/>
    <m/>
    <m/>
    <m/>
    <m/>
    <m/>
    <m/>
    <s v="QUINOT"/>
    <d v="2012-12-21T00:00:00"/>
    <m/>
    <n v="3694417.2380019594"/>
    <s v="SO"/>
    <m/>
    <d v="2012-03-16T00:00:00"/>
    <d v="2013-03-31T00:00:00"/>
    <n v="4.0666666666666664"/>
    <m/>
    <d v="2011-12-21T00:00:00"/>
    <n v="2011"/>
    <n v="5.6"/>
    <n v="16"/>
    <n v="17"/>
    <n v="18"/>
    <n v="19"/>
    <n v="2"/>
    <n v="2"/>
    <n v="12116"/>
    <n v="24232"/>
    <s v="ok"/>
    <d v="2013-04-21T00:00:00"/>
    <d v="2013-07-18T00:00:00"/>
    <m/>
    <d v="2013-07-15T00:00:00"/>
    <m/>
    <d v="2013-07-31T00:00:00"/>
    <d v="2013-07-31T00:00:00"/>
    <n v="2013"/>
    <m/>
    <m/>
    <m/>
    <m/>
    <m/>
    <m/>
    <m/>
    <d v="2014-07-18T00:00:00"/>
    <s v="ok"/>
    <m/>
    <m/>
    <s v="25/09/2014 : à détailler plus"/>
    <s v="ok"/>
    <m/>
    <d v="2016-10-21T00:00:00"/>
    <m/>
    <m/>
    <m/>
    <s v="ok"/>
    <s v="ok"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3-07-31T00:00:00"/>
    <m/>
    <m/>
    <m/>
    <m/>
    <n v="0"/>
    <n v="1382.8666666666666"/>
    <m/>
    <m/>
    <m/>
    <m/>
    <m/>
    <m/>
    <n v="4024614"/>
    <n v="4024614"/>
    <n v="0"/>
    <n v="2100.0031307396894"/>
    <n v="174983.21739130435"/>
    <n v="3671820"/>
    <m/>
    <n v="-3671820"/>
    <n v="0.93150006932341833"/>
    <m/>
    <n v="1191366"/>
    <x v="4"/>
    <n v="51798.521739130432"/>
    <n v="0"/>
    <n v="2593661"/>
    <x v="5"/>
    <n v="592565"/>
    <n v="2001096"/>
    <n v="0"/>
    <n v="112767.86956521739"/>
    <n v="0"/>
    <n v="239587"/>
    <x v="5"/>
    <m/>
    <n v="5.9530429502059078E-2"/>
    <m/>
    <x v="1"/>
    <n v="0"/>
    <n v="10416.826086956522"/>
    <m/>
    <n v="0"/>
    <m/>
    <m/>
    <n v="0"/>
    <n v="0"/>
    <n v="62215.34782608696"/>
    <n v="0"/>
    <n v="62215.34782608696"/>
    <n v="0.3555503707933233"/>
    <m/>
    <m/>
    <x v="2"/>
    <n v="4024614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'titCanal  LLS       "/>
    <s v="St Leu"/>
    <s v="TCO"/>
    <x v="1"/>
    <s v="PRLC 0094"/>
    <m/>
    <m/>
    <m/>
    <m/>
    <m/>
    <s v="rétrocession voirie Mairie à faire / DA en attente validation par Commune_x000a_DOE transmis à commune"/>
    <m/>
    <m/>
    <m/>
    <n v="8131"/>
    <n v="227747.25"/>
    <n v="178042"/>
    <e v="#REF!"/>
    <n v="28.009746648628706"/>
    <n v="21.896691673840856"/>
    <e v="#REF!"/>
    <e v="#REF!"/>
    <e v="#REF!"/>
    <n v="1079"/>
    <e v="#REF!"/>
    <s v="UC"/>
    <m/>
    <m/>
    <s v="LLS"/>
    <n v="4"/>
    <n v="4"/>
    <m/>
    <m/>
    <m/>
    <n v="317.76"/>
    <n v="317.76"/>
    <n v="79.44"/>
    <m/>
    <m/>
    <m/>
    <m/>
    <m/>
    <n v="2180"/>
    <n v="850"/>
    <n v="0.10453818718484811"/>
    <n v="2.5"/>
    <s v="collectif"/>
    <s v="oui"/>
    <m/>
    <d v="2011-09-30T00:00:00"/>
    <s v="INGEPAR"/>
    <s v="LS 5"/>
    <m/>
    <d v="2011-07-06T00:00:00"/>
    <d v="2015-10-14T00:00:00"/>
    <m/>
    <m/>
    <m/>
    <m/>
    <m/>
    <m/>
    <m/>
    <m/>
    <d v="1901-12-31T00:00:00"/>
    <d v="1902-12-31T00:00:00"/>
    <m/>
    <m/>
    <m/>
    <m/>
    <m/>
    <m/>
    <m/>
    <s v="LE GOFF"/>
    <d v="2012-12-23T00:00:00"/>
    <m/>
    <m/>
    <s v="SO"/>
    <m/>
    <d v="2012-08-16T00:00:00"/>
    <m/>
    <m/>
    <m/>
    <d v="2012-02-01T00:00:00"/>
    <n v="2012"/>
    <n v="7"/>
    <n v="13"/>
    <n v="14"/>
    <n v="24"/>
    <n v="24"/>
    <n v="11"/>
    <n v="10"/>
    <n v="2035"/>
    <n v="22385"/>
    <s v="ok"/>
    <d v="2013-03-01T00:00:00"/>
    <d v="2014-02-18T00:00:00"/>
    <m/>
    <d v="2014-02-19T00:00:00"/>
    <m/>
    <d v="2014-02-26T00:00:00"/>
    <d v="2014-02-26T00:00:00"/>
    <n v="2014"/>
    <m/>
    <m/>
    <m/>
    <m/>
    <m/>
    <d v="2014-05-28T00:00:00"/>
    <m/>
    <d v="2015-02-18T00:00:00"/>
    <s v="ok"/>
    <m/>
    <d v="2014-10-07T00:00:00"/>
    <d v="2014-10-09T00:00:00"/>
    <s v="ok"/>
    <m/>
    <d v="2015-10-13T00:00:00"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4-02-26T00:00:00"/>
    <m/>
    <m/>
    <m/>
    <m/>
    <n v="0"/>
    <n v="1389.8666666666666"/>
    <m/>
    <m/>
    <m/>
    <m/>
    <m/>
    <m/>
    <n v="642137"/>
    <n v="642137"/>
    <n v="0"/>
    <n v="2020.8238922457201"/>
    <n v="160534.25"/>
    <m/>
    <m/>
    <n v="0"/>
    <n v="0"/>
    <m/>
    <n v="75000"/>
    <x v="5"/>
    <n v="18750"/>
    <n v="0"/>
    <n v="335412"/>
    <x v="6"/>
    <n v="85556"/>
    <n v="249856"/>
    <n v="0"/>
    <n v="83853"/>
    <n v="100000"/>
    <n v="119398"/>
    <x v="6"/>
    <m/>
    <n v="0.18593851467833189"/>
    <m/>
    <x v="3"/>
    <n v="0"/>
    <n v="29849.5"/>
    <m/>
    <n v="0"/>
    <m/>
    <m/>
    <n v="1087937.9071325003"/>
    <n v="400000"/>
    <n v="148599.5"/>
    <n v="474274.71"/>
    <n v="267168.17749999999"/>
    <n v="0.62937481320481981"/>
    <n v="32084"/>
    <m/>
    <x v="2"/>
    <n v="1730074.9071325003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LLTS Les Rosiers "/>
    <s v="Tampon"/>
    <s v="CA SUD"/>
    <x v="1"/>
    <s v="PRLC 0124"/>
    <m/>
    <m/>
    <m/>
    <m/>
    <m/>
    <m/>
    <m/>
    <m/>
    <m/>
    <m/>
    <m/>
    <m/>
    <m/>
    <m/>
    <m/>
    <m/>
    <m/>
    <m/>
    <m/>
    <m/>
    <s v="UB"/>
    <m/>
    <m/>
    <s v="LLTS"/>
    <n v="6"/>
    <m/>
    <n v="6"/>
    <m/>
    <m/>
    <n v="470.86"/>
    <n v="470.86"/>
    <n v="78.476666666666674"/>
    <m/>
    <m/>
    <m/>
    <m/>
    <m/>
    <m/>
    <n v="0"/>
    <e v="#DIV/0!"/>
    <m/>
    <s v="collectif"/>
    <s v="oui"/>
    <m/>
    <d v="2011-09-30T00:00:00"/>
    <s v="INGEPAR"/>
    <s v="LS 11"/>
    <m/>
    <d v="2011-07-06T00:00:00"/>
    <d v="2015-11-09T00:00:00"/>
    <m/>
    <m/>
    <m/>
    <m/>
    <m/>
    <m/>
    <m/>
    <m/>
    <d v="1901-12-31T00:00:00"/>
    <d v="1902-12-31T00:00:00"/>
    <m/>
    <m/>
    <m/>
    <m/>
    <m/>
    <m/>
    <m/>
    <m/>
    <d v="2012-12-21T00:00:00"/>
    <m/>
    <m/>
    <s v="SO"/>
    <m/>
    <d v="2012-09-24T00:00:00"/>
    <m/>
    <m/>
    <m/>
    <d v="2011-12-21T00:00:00"/>
    <n v="2011"/>
    <n v="5.6"/>
    <n v="22"/>
    <n v="23"/>
    <n v="22"/>
    <n v="25"/>
    <n v="0"/>
    <n v="2"/>
    <n v="2502"/>
    <n v="0"/>
    <s v="ok"/>
    <d v="2013-10-21T00:00:00"/>
    <d v="2013-10-21T00:00:00"/>
    <m/>
    <d v="2013-12-03T00:00:00"/>
    <m/>
    <d v="2014-02-13T00:00:00"/>
    <d v="2014-02-13T00:00:00"/>
    <n v="2014"/>
    <m/>
    <m/>
    <m/>
    <m/>
    <m/>
    <m/>
    <m/>
    <d v="2014-10-21T00:00:00"/>
    <s v="14/10/14 DPR"/>
    <s v="ok"/>
    <m/>
    <m/>
    <m/>
    <m/>
    <d v="2015-04-27T00:00:00"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m/>
    <m/>
    <m/>
    <m/>
    <m/>
    <n v="926283"/>
    <n v="926283"/>
    <n v="0"/>
    <n v="1967.2153081595377"/>
    <n v="154380.5"/>
    <m/>
    <m/>
    <n v="0"/>
    <n v="0"/>
    <m/>
    <n v="340124"/>
    <x v="6"/>
    <n v="56687.333333333336"/>
    <n v="0"/>
    <n v="486159"/>
    <x v="7"/>
    <n v="145848"/>
    <n v="340311"/>
    <n v="0"/>
    <n v="81026.5"/>
    <n v="0"/>
    <n v="100000"/>
    <x v="7"/>
    <m/>
    <n v="0.10795836693537504"/>
    <m/>
    <x v="1"/>
    <n v="0"/>
    <n v="16666.666666666668"/>
    <m/>
    <n v="0"/>
    <m/>
    <m/>
    <n v="0"/>
    <n v="0"/>
    <n v="73354"/>
    <n v="0"/>
    <n v="73354"/>
    <n v="0.47515068289065004"/>
    <m/>
    <m/>
    <x v="2"/>
    <n v="926283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Lavoir "/>
    <s v="St Leu"/>
    <s v="TCO"/>
    <x v="1"/>
    <s v="PRLC 0100"/>
    <s v="YFR"/>
    <s v="NLE"/>
    <s v="patrimoine"/>
    <m/>
    <m/>
    <m/>
    <m/>
    <m/>
    <m/>
    <n v="2405"/>
    <n v="133800"/>
    <n v="120788"/>
    <n v="9557.1428571428569"/>
    <n v="55.634095634095637"/>
    <n v="50.223700623700623"/>
    <n v="115.00004760408635"/>
    <n v="8627.7142857142862"/>
    <n v="171.78571428571428"/>
    <m/>
    <n v="0.43672765072765068"/>
    <s v="UC"/>
    <m/>
    <m/>
    <s v="LLTS"/>
    <n v="14"/>
    <m/>
    <n v="14"/>
    <m/>
    <m/>
    <n v="1050.33"/>
    <n v="1050.33"/>
    <n v="75.023571428571429"/>
    <m/>
    <m/>
    <m/>
    <m/>
    <m/>
    <n v="600"/>
    <s v="x"/>
    <e v="#VALUE!"/>
    <n v="2"/>
    <s v="collectif"/>
    <s v="oui"/>
    <m/>
    <d v="2011-09-30T00:00:00"/>
    <s v="SO"/>
    <s v="SO"/>
    <m/>
    <d v="2011-12-07T00:00:00"/>
    <m/>
    <m/>
    <m/>
    <m/>
    <m/>
    <m/>
    <m/>
    <m/>
    <m/>
    <d v="1901-12-31T00:00:00"/>
    <d v="1902-12-31T00:00:00"/>
    <m/>
    <m/>
    <m/>
    <m/>
    <m/>
    <m/>
    <m/>
    <m/>
    <s v="SO"/>
    <m/>
    <s v="SO"/>
    <s v="SO"/>
    <m/>
    <m/>
    <s v="SO"/>
    <m/>
    <m/>
    <d v="2012-03-02T00:00:00"/>
    <n v="2012"/>
    <n v="2.8666666666666667"/>
    <n v="12"/>
    <n v="13"/>
    <n v="20"/>
    <n v="26"/>
    <n v="8"/>
    <n v="13"/>
    <n v="5964"/>
    <n v="47712"/>
    <s v="ok"/>
    <d v="2013-03-02T00:00:00"/>
    <d v="2013-11-05T00:00:00"/>
    <m/>
    <d v="2013-12-19T00:00:00"/>
    <m/>
    <d v="2014-05-15T00:00:00"/>
    <d v="2014-05-15T00:00:00"/>
    <n v="2014"/>
    <m/>
    <m/>
    <m/>
    <m/>
    <m/>
    <d v="2014-01-22T00:00:00"/>
    <s v="ok"/>
    <d v="2014-11-05T00:00:00"/>
    <s v="ok"/>
    <m/>
    <d v="2014-10-07T00:00:00"/>
    <d v="2014-10-13T00:00:00"/>
    <m/>
    <m/>
    <s v="SO"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m/>
    <n v="0"/>
    <m/>
    <d v="2014-05-15T00:00:00"/>
    <m/>
    <m/>
    <m/>
    <m/>
    <n v="0"/>
    <n v="1392.4666666666667"/>
    <m/>
    <s v="Lot GO : Dunite btp par CH2D_x000a_Lot Métallerie : Sodure par Espace alu_x000a_Soit 2 sur 14 lots = 14%_x000a_4 RO"/>
    <m/>
    <m/>
    <m/>
    <m/>
    <n v="2230353.88"/>
    <n v="2230353.88"/>
    <n v="0"/>
    <n v="2123.4791732122285"/>
    <n v="159310.99142857143"/>
    <m/>
    <n v="0"/>
    <n v="0"/>
    <n v="0"/>
    <m/>
    <n v="0"/>
    <x v="0"/>
    <n v="0"/>
    <n v="0"/>
    <n v="1285412"/>
    <x v="8"/>
    <n v="305730"/>
    <n v="979682"/>
    <n v="0"/>
    <n v="91815.142857142855"/>
    <m/>
    <n v="620464"/>
    <x v="8"/>
    <n v="70000"/>
    <n v="0.27819083131328021"/>
    <m/>
    <x v="4"/>
    <n v="0"/>
    <n v="44318.857142857145"/>
    <m/>
    <n v="0"/>
    <m/>
    <m/>
    <n v="715424.22886499984"/>
    <n v="280000"/>
    <n v="64318.857142857145"/>
    <n v="259894.04"/>
    <n v="82882.717142857146"/>
    <n v="0.41111677977683803"/>
    <n v="123324.49695"/>
    <m/>
    <x v="3"/>
    <n v="2945778.1088649998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oker d'As LLS"/>
    <s v="Tampon"/>
    <s v="CA SUD"/>
    <x v="2"/>
    <s v="PRLC 0090"/>
    <s v="FMA"/>
    <s v="NLE"/>
    <s v="patrimoine"/>
    <m/>
    <m/>
    <m/>
    <m/>
    <m/>
    <m/>
    <n v="3735"/>
    <n v="860000"/>
    <n v="860000"/>
    <n v="29655.172413793105"/>
    <n v="230.25435073627844"/>
    <n v="230.25435073627844"/>
    <n v="359.81005376231616"/>
    <n v="29655.172413793105"/>
    <n v="128.79310344827587"/>
    <m/>
    <n v="0.63993306559571628"/>
    <s v="UA"/>
    <m/>
    <m/>
    <s v="LLS"/>
    <n v="29"/>
    <n v="29"/>
    <m/>
    <m/>
    <m/>
    <n v="2390.15"/>
    <n v="2390.15"/>
    <n v="82.418965517241389"/>
    <m/>
    <m/>
    <m/>
    <m/>
    <m/>
    <n v="1046"/>
    <n v="0"/>
    <n v="0"/>
    <n v="4"/>
    <s v="collectif"/>
    <s v="oui"/>
    <m/>
    <d v="2012-02-24T00:00:00"/>
    <s v="INGEPAR"/>
    <s v="LS 56"/>
    <m/>
    <d v="2012-05-24T00:00:00"/>
    <m/>
    <m/>
    <d v="2012-10-11T00:00:00"/>
    <m/>
    <m/>
    <m/>
    <m/>
    <m/>
    <d v="2013-02-14T00:00:00"/>
    <d v="2015-02-14T00:00:00"/>
    <d v="2016-02-14T00:00:00"/>
    <s v="oui"/>
    <m/>
    <m/>
    <m/>
    <m/>
    <m/>
    <m/>
    <s v="QUINOT"/>
    <d v="2012-12-18T00:00:00"/>
    <m/>
    <n v="6314520.7599999998"/>
    <d v="2014-06-18T00:00:00"/>
    <d v="2014-12-18T00:00:00"/>
    <d v="2013-07-15T00:00:00"/>
    <d v="2015-06-15T00:00:00"/>
    <n v="-0.4"/>
    <m/>
    <d v="2013-02-04T00:00:00"/>
    <n v="2013"/>
    <n v="8.5333333333333332"/>
    <n v="15"/>
    <n v="16"/>
    <n v="27"/>
    <n v="27"/>
    <n v="12"/>
    <n v="11"/>
    <n v="15403.971887054833"/>
    <n v="184847.662644658"/>
    <s v="ok"/>
    <d v="2014-05-04T00:00:00"/>
    <d v="2015-06-03T00:00:00"/>
    <m/>
    <d v="2014-12-19T00:00:00"/>
    <m/>
    <d v="2015-06-03T00:00:00"/>
    <d v="2015-06-03T00:00:00"/>
    <n v="2015"/>
    <m/>
    <m/>
    <m/>
    <m/>
    <m/>
    <m/>
    <s v="à faire"/>
    <d v="2016-06-03T00:00:00"/>
    <s v="7/9/15 - correctifs à apporter"/>
    <d v="2015-12-15T00:00:00"/>
    <m/>
    <m/>
    <m/>
    <m/>
    <d v="2017-09-28T00:00:00"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5-06-03T00:00:00"/>
    <m/>
    <m/>
    <m/>
    <m/>
    <n v="0"/>
    <n v="1405.2666666666667"/>
    <m/>
    <m/>
    <m/>
    <m/>
    <m/>
    <n v="4670611"/>
    <n v="4807009.38"/>
    <n v="4681218.38"/>
    <n v="-125791"/>
    <n v="1958.5458569545842"/>
    <n v="161421.32344827586"/>
    <m/>
    <m/>
    <n v="0"/>
    <n v="0"/>
    <m/>
    <n v="1473759.38"/>
    <x v="7"/>
    <n v="50819.28896551724"/>
    <n v="0"/>
    <n v="3186090"/>
    <x v="9"/>
    <n v="549227"/>
    <n v="2636863"/>
    <n v="0"/>
    <n v="109865.1724137931"/>
    <n v="0"/>
    <n v="1111"/>
    <x v="9"/>
    <m/>
    <n v="2.1361960045965641E-7"/>
    <m/>
    <x v="5"/>
    <n v="0"/>
    <n v="3.4482758620689655E-2"/>
    <m/>
    <n v="0"/>
    <m/>
    <m/>
    <n v="0"/>
    <n v="0"/>
    <n v="50819.323448275856"/>
    <n v="0"/>
    <n v="50819.323448275856"/>
    <n v="0.31482410354887136"/>
    <m/>
    <m/>
    <x v="4"/>
    <n v="4681218.38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oker d'As LLTS"/>
    <s v="Tampon"/>
    <s v="CA SUD"/>
    <x v="2"/>
    <s v="PRLC 0090"/>
    <s v="FMA"/>
    <m/>
    <m/>
    <m/>
    <m/>
    <m/>
    <m/>
    <m/>
    <m/>
    <m/>
    <m/>
    <m/>
    <m/>
    <m/>
    <m/>
    <m/>
    <m/>
    <m/>
    <m/>
    <m/>
    <s v="UA"/>
    <m/>
    <m/>
    <s v="LLTS"/>
    <n v="13"/>
    <m/>
    <n v="13"/>
    <m/>
    <m/>
    <n v="927.22"/>
    <n v="927.22"/>
    <n v="71.324615384615385"/>
    <m/>
    <m/>
    <m/>
    <m/>
    <m/>
    <m/>
    <m/>
    <m/>
    <m/>
    <s v="collectif"/>
    <s v="oui"/>
    <m/>
    <d v="2012-02-24T00:00:00"/>
    <s v="INGEPAR"/>
    <s v="LS 56"/>
    <m/>
    <d v="2012-06-21T00:00:00"/>
    <m/>
    <m/>
    <d v="2012-10-11T00:00:00"/>
    <m/>
    <m/>
    <m/>
    <m/>
    <m/>
    <d v="2013-02-14T00:00:00"/>
    <d v="2015-02-14T00:00:00"/>
    <d v="2016-02-14T00:00:00"/>
    <s v="oui"/>
    <m/>
    <m/>
    <m/>
    <m/>
    <m/>
    <m/>
    <m/>
    <d v="2012-12-18T00:00:00"/>
    <m/>
    <n v="6314520.7599999998"/>
    <d v="2014-06-18T00:00:00"/>
    <d v="2014-12-18T00:00:00"/>
    <d v="2013-07-15T00:00:00"/>
    <m/>
    <m/>
    <m/>
    <d v="2013-02-04T00:00:00"/>
    <n v="2013"/>
    <n v="7.6"/>
    <n v="15"/>
    <n v="16"/>
    <n v="27"/>
    <n v="27"/>
    <n v="12"/>
    <n v="11"/>
    <n v="4597.6309846555168"/>
    <n v="55171.571815866206"/>
    <s v="ok"/>
    <d v="2014-05-04T00:00:00"/>
    <d v="2015-06-03T00:00:00"/>
    <m/>
    <d v="2014-12-19T00:00:00"/>
    <m/>
    <d v="2015-06-03T00:00:00"/>
    <d v="2015-06-03T00:00:00"/>
    <n v="2015"/>
    <m/>
    <m/>
    <m/>
    <m/>
    <m/>
    <m/>
    <s v="à faire"/>
    <d v="2016-06-03T00:00:00"/>
    <s v="7/9/15 - correctifs à apporter"/>
    <d v="2015-12-15T00:00:00"/>
    <m/>
    <m/>
    <m/>
    <m/>
    <d v="2017-09-28T00:00:00"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Elec : DTS par Rayroux_x000a_Soit 1 lot sur 16_x000a_3 RO"/>
    <m/>
    <m/>
    <m/>
    <n v="1808199"/>
    <n v="1878610.47"/>
    <n v="1898659.47"/>
    <n v="20049"/>
    <n v="2047.6903755311575"/>
    <n v="146050.72846153847"/>
    <m/>
    <m/>
    <n v="0"/>
    <n v="0"/>
    <m/>
    <n v="706398.49"/>
    <x v="8"/>
    <n v="54338.345384615386"/>
    <n v="0"/>
    <n v="1041347.98"/>
    <x v="10"/>
    <n v="179485"/>
    <n v="861862.98"/>
    <n v="0"/>
    <n v="80103.690769230772"/>
    <n v="0"/>
    <n v="60430"/>
    <x v="10"/>
    <m/>
    <n v="3.1601243376201633E-2"/>
    <m/>
    <x v="6"/>
    <n v="0"/>
    <n v="4615.3846153846152"/>
    <m/>
    <n v="0"/>
    <m/>
    <m/>
    <n v="0"/>
    <n v="0"/>
    <n v="58953.729999999996"/>
    <n v="0"/>
    <n v="58953.729999999996"/>
    <n v="0.40365242009405722"/>
    <m/>
    <m/>
    <x v="5"/>
    <n v="1898659.47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Bouton d'Or (Tampon 15e km)"/>
    <s v="Tampon"/>
    <s v="CA SUD"/>
    <x v="2"/>
    <s v="PRLC 0117"/>
    <s v="FVA"/>
    <s v="GGO"/>
    <s v="clôture défisc"/>
    <m/>
    <m/>
    <s v="voie intérieure à rétrocéder_x000a_récupérer DOE_x000a_faire le DA : FVA s'en occupe"/>
    <m/>
    <m/>
    <m/>
    <n v="12495"/>
    <n v="825000"/>
    <n v="546365"/>
    <n v="12692.307692307691"/>
    <n v="66.026410564225685"/>
    <n v="43.726690676270508"/>
    <n v="102.74383478695837"/>
    <n v="8405.6153846153848"/>
    <n v="192.23076923076923"/>
    <m/>
    <n v="0.42558943577430969"/>
    <s v="UC"/>
    <n v="850"/>
    <m/>
    <s v="LLTS"/>
    <n v="65"/>
    <m/>
    <n v="65"/>
    <m/>
    <m/>
    <n v="5311.74"/>
    <n v="5317.74"/>
    <n v="81.811384615384611"/>
    <n v="0"/>
    <n v="0.29230769230769232"/>
    <n v="0.30769230769230771"/>
    <n v="0.35384615384615387"/>
    <n v="4.6153846153846156E-2"/>
    <s v="ANC"/>
    <n v="2000"/>
    <n v="0.1600640256102441"/>
    <n v="2.5"/>
    <s v="collectif"/>
    <m/>
    <m/>
    <d v="2012-02-24T00:00:00"/>
    <s v="INGEPAR"/>
    <s v="LS 20"/>
    <m/>
    <d v="2012-07-01T00:00:00"/>
    <m/>
    <m/>
    <d v="2012-08-13T00:00:00"/>
    <m/>
    <m/>
    <m/>
    <m/>
    <m/>
    <d v="2013-02-14T00:00:00"/>
    <d v="2015-02-14T00:00:00"/>
    <d v="2016-02-14T00:00:00"/>
    <s v="oui"/>
    <m/>
    <m/>
    <m/>
    <m/>
    <m/>
    <m/>
    <s v="BARET/GILLOT"/>
    <d v="2012-12-18T00:00:00"/>
    <m/>
    <n v="9654414.4900000002"/>
    <d v="2014-06-18T00:00:00"/>
    <m/>
    <d v="2014-05-26T00:00:00"/>
    <d v="2014-10-15T00:00:00"/>
    <n v="31.733333333333334"/>
    <m/>
    <d v="2013-02-15T00:00:00"/>
    <n v="2013"/>
    <n v="7.6333333333333337"/>
    <n v="21"/>
    <n v="22"/>
    <n v="51"/>
    <n v="51"/>
    <n v="30"/>
    <n v="29"/>
    <n v="27488.225982313335"/>
    <n v="824646.77946940006"/>
    <d v="2016-06-14T00:00:00"/>
    <d v="2014-11-15T00:00:00"/>
    <d v="2017-05-20T00:00:00"/>
    <d v="2016-05-26T00:00:00"/>
    <d v="2017-05-24T00:00:00"/>
    <s v="ok"/>
    <d v="2017-05-09T00:00:00"/>
    <d v="2017-05-24T00:00:00"/>
    <n v="2017"/>
    <s v="ok"/>
    <m/>
    <s v="ok"/>
    <m/>
    <m/>
    <m/>
    <s v="à faire"/>
    <m/>
    <s v="ok"/>
    <d v="2017-06-21T00:00:00"/>
    <m/>
    <m/>
    <m/>
    <s v="19/07/2017_x000a_05/09/17"/>
    <m/>
    <m/>
    <s v="dde 19/7/17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7-05-24T00:00:00"/>
    <m/>
    <m/>
    <m/>
    <m/>
    <n v="0"/>
    <n v="1429.3"/>
    <m/>
    <s v="Lot Men Ext_x000a_Lot Cloisons_x000a_Lot Bardage_x000a_Lot Bardage_x000a_soit 4 lots sur 14 = 29%_x000a_4 RO"/>
    <m/>
    <m/>
    <m/>
    <n v="9682468.3900000006"/>
    <n v="10302885.028743383"/>
    <n v="10323043.357213691"/>
    <n v="20158.328470308334"/>
    <n v="1943.4391286496875"/>
    <n v="158816.05164944139"/>
    <n v="9295451"/>
    <m/>
    <n v="-9295451"/>
    <n v="0.92116484310196667"/>
    <m/>
    <n v="3195831"/>
    <x v="9"/>
    <n v="49166.630769230767"/>
    <n v="0"/>
    <n v="6112292.5499999998"/>
    <x v="11"/>
    <n v="1264343"/>
    <n v="4847949.55"/>
    <n v="0"/>
    <n v="94035.27"/>
    <n v="0"/>
    <n v="790394"/>
    <x v="11"/>
    <m/>
    <n v="7.6565986662031849E-2"/>
    <m/>
    <x v="1"/>
    <n v="0"/>
    <n v="12159.907692307692"/>
    <m/>
    <n v="0"/>
    <m/>
    <m/>
    <n v="1951680.4950927752"/>
    <n v="1300000"/>
    <n v="81326.538461538468"/>
    <n v="0"/>
    <n v="81326.538461538468"/>
    <n v="0.45116299387544156"/>
    <n v="557838.66500000004"/>
    <m/>
    <x v="6"/>
    <n v="12274723.852306467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Harry PAYET (Les Mimosas)"/>
    <s v="Tampon"/>
    <s v="CA SUD"/>
    <x v="2"/>
    <s v="PRLC 0114"/>
    <s v="FHO"/>
    <s v="MMA"/>
    <s v="patrimoine"/>
    <s v="dossier transmis"/>
    <m/>
    <m/>
    <m/>
    <m/>
    <m/>
    <n v="8821"/>
    <n v="530000"/>
    <n v="289110"/>
    <n v="13250"/>
    <n v="60.083890715338399"/>
    <n v="32.775195556059401"/>
    <n v="111.55441514093337"/>
    <n v="7227.75"/>
    <n v="220.52500000000001"/>
    <m/>
    <n v="0.29380455730642785"/>
    <s v="UC"/>
    <m/>
    <m/>
    <s v="LLTS"/>
    <n v="40"/>
    <m/>
    <n v="40"/>
    <m/>
    <m/>
    <n v="2591.65"/>
    <n v="2591.65"/>
    <n v="64.791250000000005"/>
    <n v="0.1"/>
    <n v="0.3"/>
    <n v="0.32500000000000001"/>
    <n v="0.22500000000000001"/>
    <n v="0.05"/>
    <n v="1150"/>
    <m/>
    <n v="0"/>
    <n v="2.5"/>
    <s v="collectif"/>
    <s v="non"/>
    <m/>
    <d v="2012-02-24T00:00:00"/>
    <s v="INGEPAR"/>
    <s v="LS 19"/>
    <m/>
    <d v="2012-07-04T00:00:00"/>
    <m/>
    <m/>
    <d v="2012-08-13T00:00:00"/>
    <m/>
    <m/>
    <m/>
    <m/>
    <m/>
    <d v="2013-02-14T00:00:00"/>
    <d v="2015-02-14T00:00:00"/>
    <d v="2016-02-14T00:00:00"/>
    <s v="oui"/>
    <m/>
    <m/>
    <m/>
    <m/>
    <m/>
    <m/>
    <s v="MAREL"/>
    <d v="2012-12-18T00:00:00"/>
    <m/>
    <m/>
    <d v="2014-06-18T00:00:00"/>
    <d v="2014-12-18T00:00:00"/>
    <d v="2013-10-23T00:00:00"/>
    <d v="2014-12-15T00:00:00"/>
    <n v="5.4333333333333336"/>
    <m/>
    <d v="2013-02-04T00:00:00"/>
    <n v="2013"/>
    <n v="7.166666666666667"/>
    <n v="15"/>
    <n v="16"/>
    <n v="26"/>
    <n v="27"/>
    <n v="11"/>
    <n v="11"/>
    <n v="14363.68880697325"/>
    <n v="158000.57687670575"/>
    <s v="ok"/>
    <d v="2014-05-04T00:00:00"/>
    <d v="2015-04-17T00:00:00"/>
    <m/>
    <d v="2015-07-17T00:00:00"/>
    <d v="2015-10-01T00:00:00"/>
    <d v="2015-05-27T00:00:00"/>
    <d v="2015-05-27T00:00:00"/>
    <n v="2015"/>
    <m/>
    <s v="ok"/>
    <m/>
    <s v="ok"/>
    <s v="ok"/>
    <d v="2016-09-15T00:00:00"/>
    <d v="2017-04-06T00:00:00"/>
    <d v="2016-04-17T00:00:00"/>
    <d v="2015-06-15T00:00:00"/>
    <s v="17/11/2015_x000a_27/01/16_x000a_15/03/16"/>
    <d v="2016-10-04T00:00:00"/>
    <m/>
    <m/>
    <d v="2016-02-26T00:00:00"/>
    <d v="2017-03-03T00:00:00"/>
    <m/>
    <m/>
    <m/>
    <d v="2017-08-31T00:00:00"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5-05-27T00:00:00"/>
    <m/>
    <m/>
    <m/>
    <m/>
    <n v="0"/>
    <n v="1405.0333333333333"/>
    <m/>
    <s v="Lot VRD - SATP par Austral TP_x000a_Lot Cloisons - SPB par 3PPLUS_x000a_Lot Elec : DTS par EES_x000a_Soit 3 lots sur 14 = 21%_x000a_3 RO"/>
    <m/>
    <m/>
    <m/>
    <n v="5246631"/>
    <n v="5090210.4499999993"/>
    <n v="5090210.4499999993"/>
    <n v="0"/>
    <n v="1964.0809715818104"/>
    <n v="127255.26124999998"/>
    <n v="4689965"/>
    <m/>
    <n v="-4689965"/>
    <n v="0.9407183282569388"/>
    <m/>
    <n v="1480537"/>
    <x v="10"/>
    <n v="37013.425000000003"/>
    <n v="0"/>
    <n v="2895140.53"/>
    <x v="12"/>
    <n v="565518"/>
    <n v="2329622.5299999998"/>
    <n v="0"/>
    <n v="72378.513249999989"/>
    <n v="0"/>
    <n v="663000"/>
    <x v="12"/>
    <m/>
    <n v="0.13025001746244108"/>
    <m/>
    <x v="1"/>
    <n v="0"/>
    <n v="16575"/>
    <m/>
    <n v="0"/>
    <m/>
    <m/>
    <n v="1151902.8490725001"/>
    <n v="800000"/>
    <n v="73588.425000000003"/>
    <n v="0"/>
    <n v="73588.425000000003"/>
    <n v="0.4949673218743304"/>
    <n v="295181.31"/>
    <m/>
    <x v="7"/>
    <n v="6242113.2990724994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Jules Arlandas (Alamandas)"/>
    <s v="Tampon"/>
    <s v="CA SUD"/>
    <x v="2"/>
    <s v="PRLC 0107"/>
    <s v="SGM"/>
    <s v="EGI"/>
    <s v="patrimoine"/>
    <m/>
    <m/>
    <m/>
    <m/>
    <m/>
    <m/>
    <n v="5530"/>
    <n v="1300000"/>
    <n v="1300000"/>
    <n v="17333.333333333332"/>
    <n v="235.08137432188065"/>
    <n v="235.08137432188065"/>
    <n v="198.20517589947033"/>
    <n v="17333.333333333332"/>
    <n v="73.733333333333334"/>
    <m/>
    <n v="1.1860506329113925"/>
    <s v="UAa"/>
    <m/>
    <m/>
    <s v="LLTS"/>
    <n v="75"/>
    <m/>
    <n v="75"/>
    <m/>
    <m/>
    <n v="6558.86"/>
    <n v="6558.86"/>
    <n v="87.451466666666661"/>
    <n v="6.6666666666666666E-2"/>
    <n v="0.13333333333333333"/>
    <n v="0.4"/>
    <n v="0.33333333333333331"/>
    <n v="6.6666666666666666E-2"/>
    <n v="697.88"/>
    <n v="0"/>
    <n v="0"/>
    <n v="7"/>
    <s v="collectif"/>
    <s v="oui"/>
    <m/>
    <d v="2012-02-24T00:00:00"/>
    <s v="INGEPAR"/>
    <s v="LS 44"/>
    <m/>
    <d v="2012-07-04T00:00:00"/>
    <m/>
    <m/>
    <d v="2012-10-01T00:00:00"/>
    <m/>
    <m/>
    <m/>
    <m/>
    <m/>
    <d v="2013-02-14T00:00:00"/>
    <d v="2015-02-14T00:00:00"/>
    <d v="2016-02-14T00:00:00"/>
    <s v="oui"/>
    <m/>
    <m/>
    <m/>
    <m/>
    <m/>
    <m/>
    <s v="MAREL"/>
    <d v="2012-12-27T00:00:00"/>
    <m/>
    <n v="12054387.02"/>
    <d v="2014-06-27T00:00:00"/>
    <d v="2014-12-27T00:00:00"/>
    <d v="2013-12-09T00:00:00"/>
    <d v="2015-10-20T00:00:00"/>
    <n v="1.1666666666666667"/>
    <m/>
    <d v="2013-06-03T00:00:00"/>
    <n v="2013"/>
    <n v="11.133333333333333"/>
    <n v="20"/>
    <n v="21"/>
    <n v="28"/>
    <n v="29"/>
    <n v="8"/>
    <n v="8"/>
    <n v="33302.91469613817"/>
    <n v="266423.31756910536"/>
    <s v="ok"/>
    <d v="2015-02-03T00:00:00"/>
    <d v="2015-10-19T00:00:00"/>
    <d v="2015-12-09T00:00:00"/>
    <d v="2015-11-24T00:00:00"/>
    <m/>
    <d v="2015-11-24T00:00:00"/>
    <d v="2015-11-24T00:00:00"/>
    <n v="2015"/>
    <m/>
    <d v="2016-11-05T00:00:00"/>
    <m/>
    <m/>
    <m/>
    <m/>
    <d v="2016-10-13T00:00:00"/>
    <m/>
    <s v="ok"/>
    <d v="2016-02-24T00:00:00"/>
    <m/>
    <m/>
    <m/>
    <m/>
    <d v="2018-02-05T00:00:00"/>
    <m/>
    <d v="2017-03-14T00:00:00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5-11-24T00:00:00"/>
    <m/>
    <m/>
    <m/>
    <m/>
    <n v="0"/>
    <n v="1411.0666666666666"/>
    <m/>
    <s v="OPC :  L'hospitalier par Fromentin_x000a_Lot Etanchéité :_x000a_Lot Peinture :_x000a_Lot Cloison : Plaquiste réunion par Plaquiste.com_x000a_Menui Alu : FAOI par Technipose_x000a_Menui Alu : Technipose par Soremir_x000a_Lot Elect : I2E par Megawatt_x000a_Soit  6 lots sur 22 = 27 %"/>
    <m/>
    <m/>
    <m/>
    <n v="11693100"/>
    <n v="12349548.309999999"/>
    <n v="12349548.309999999"/>
    <n v="0"/>
    <n v="1882.8803038942742"/>
    <n v="164660.64413333332"/>
    <m/>
    <m/>
    <n v="0"/>
    <n v="0"/>
    <m/>
    <n v="3816022.8"/>
    <x v="11"/>
    <n v="50880.303999999996"/>
    <n v="0"/>
    <n v="7538525.5099999998"/>
    <x v="13"/>
    <n v="1459253.6"/>
    <n v="6079271.9100000001"/>
    <n v="0"/>
    <n v="100513.67346666666"/>
    <n v="0"/>
    <n v="995000"/>
    <x v="13"/>
    <m/>
    <n v="8.0569748384586873E-2"/>
    <m/>
    <x v="1"/>
    <n v="0"/>
    <n v="13266.666666666666"/>
    <m/>
    <n v="0"/>
    <m/>
    <m/>
    <n v="0"/>
    <n v="0"/>
    <n v="64146.970666666661"/>
    <n v="0"/>
    <n v="64146.970666666661"/>
    <n v="0.38957075021960869"/>
    <m/>
    <m/>
    <x v="8"/>
    <n v="12349548.309999999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Sceau de Salomon "/>
    <s v="Tampon"/>
    <s v="CA SUD"/>
    <x v="2"/>
    <s v="PRLC 0128"/>
    <m/>
    <s v="DBE"/>
    <s v="patrimoine"/>
    <m/>
    <m/>
    <m/>
    <m/>
    <m/>
    <m/>
    <n v="7275"/>
    <n v="773000"/>
    <n v="773000"/>
    <n v="9202.3809523809523"/>
    <n v="106.25429553264605"/>
    <n v="106.25429553264605"/>
    <n v="168.94476183815397"/>
    <n v="9202.3809523809523"/>
    <n v="86.607142857142861"/>
    <m/>
    <n v="0.62892920962199317"/>
    <s v="UB"/>
    <n v="530"/>
    <n v="0.1"/>
    <s v="LLS"/>
    <n v="84"/>
    <n v="84"/>
    <m/>
    <m/>
    <m/>
    <n v="4575.46"/>
    <n v="4575.46"/>
    <n v="54.469761904761903"/>
    <m/>
    <m/>
    <m/>
    <m/>
    <m/>
    <n v="2038"/>
    <n v="0"/>
    <n v="0"/>
    <n v="4"/>
    <s v="collectif"/>
    <m/>
    <m/>
    <d v="2012-02-24T00:00:00"/>
    <s v="INGEPAR"/>
    <s v="LS 55"/>
    <m/>
    <d v="2012-08-23T00:00:00"/>
    <d v="2016-04-21T00:00:00"/>
    <m/>
    <d v="2012-10-17T00:00:00"/>
    <m/>
    <m/>
    <m/>
    <m/>
    <m/>
    <m/>
    <d v="1901-12-31T00:00:00"/>
    <d v="1902-12-31T00:00:00"/>
    <s v="oui"/>
    <m/>
    <m/>
    <m/>
    <m/>
    <m/>
    <m/>
    <s v="MAREL"/>
    <d v="2012-12-27T00:00:00"/>
    <s v="ok"/>
    <n v="9461576.1300000008"/>
    <d v="2014-06-27T00:00:00"/>
    <d v="2014-12-27T00:00:00"/>
    <d v="2013-10-02T00:00:00"/>
    <d v="2015-05-14T00:00:00"/>
    <n v="-6.1"/>
    <m/>
    <d v="2013-01-21T00:00:00"/>
    <n v="2013"/>
    <n v="5.0333333333333332"/>
    <n v="19"/>
    <n v="20"/>
    <n v="20"/>
    <n v="21"/>
    <n v="1"/>
    <n v="1"/>
    <n v="33642.054927489415"/>
    <n v="33642.054927489415"/>
    <s v="ok"/>
    <d v="2014-08-21T00:00:00"/>
    <d v="2014-10-15T00:00:00"/>
    <m/>
    <d v="2014-10-23T00:00:00"/>
    <m/>
    <d v="2014-11-12T00:00:00"/>
    <d v="2014-11-12T00:00:00"/>
    <n v="2014"/>
    <m/>
    <m/>
    <m/>
    <m/>
    <m/>
    <m/>
    <d v="2015-09-03T00:00:00"/>
    <d v="2015-10-15T00:00:00"/>
    <d v="2014-11-25T00:00:00"/>
    <d v="2014-11-26T00:00:00"/>
    <s v="ok"/>
    <d v="2015-10-29T00:00:00"/>
    <m/>
    <s v="ok"/>
    <d v="2016-04-15T00:00:00"/>
    <m/>
    <m/>
    <m/>
    <d v="2015-08-03T00:00:00"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4-11-12T00:00:00"/>
    <m/>
    <m/>
    <m/>
    <m/>
    <n v="0"/>
    <n v="1398.5"/>
    <m/>
    <m/>
    <m/>
    <m/>
    <m/>
    <m/>
    <n v="9756378.3699999992"/>
    <n v="9756378.3699999992"/>
    <n v="0"/>
    <n v="2132.327322280164"/>
    <n v="116147.36154761903"/>
    <n v="8749715"/>
    <m/>
    <n v="-8749715"/>
    <n v="0.91565319386029509"/>
    <m/>
    <n v="3263643"/>
    <x v="12"/>
    <n v="38852.892857142855"/>
    <n v="0"/>
    <n v="6429606.3699999992"/>
    <x v="14"/>
    <n v="1639468.02"/>
    <n v="4790138.3499999996"/>
    <n v="0"/>
    <n v="76542.932976190466"/>
    <n v="0"/>
    <n v="1"/>
    <x v="9"/>
    <m/>
    <n v="1.0249704983510188E-7"/>
    <m/>
    <x v="7"/>
    <n v="0"/>
    <n v="1.1904761904761904E-2"/>
    <m/>
    <n v="0"/>
    <m/>
    <m/>
    <n v="0"/>
    <n v="0"/>
    <n v="38852.904761904763"/>
    <n v="0"/>
    <n v="38852.904761904763"/>
    <n v="0.33451388171203122"/>
    <m/>
    <m/>
    <x v="2"/>
    <n v="9756378.3699999992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Avenue Raymond Barre "/>
    <s v="Etang-Salé"/>
    <s v="CIVIS"/>
    <x v="2"/>
    <s v="PRLC 0116"/>
    <s v="FHO"/>
    <s v="EGI"/>
    <s v="patrimoine"/>
    <s v="oui"/>
    <m/>
    <m/>
    <m/>
    <m/>
    <m/>
    <n v="2671"/>
    <n v="176000"/>
    <n v="110833"/>
    <n v="12571.428571428571"/>
    <n v="65.89292399850244"/>
    <n v="41.494945713216026"/>
    <n v="99.936881779573142"/>
    <n v="7916.6428571428569"/>
    <n v="190.78571428571428"/>
    <n v="748.11"/>
    <n v="0.41521153126169974"/>
    <s v="UC"/>
    <m/>
    <m/>
    <s v="LLTS"/>
    <n v="14"/>
    <m/>
    <n v="14"/>
    <m/>
    <m/>
    <n v="1109.03"/>
    <n v="1109.03"/>
    <n v="79.216428571428565"/>
    <n v="0.21428571428571427"/>
    <n v="0.21428571428571427"/>
    <n v="0.42857142857142855"/>
    <n v="7.1428571428571425E-2"/>
    <n v="7.1428571428571425E-2"/>
    <n v="1000"/>
    <m/>
    <n v="0"/>
    <n v="3"/>
    <s v="collectif"/>
    <m/>
    <m/>
    <d v="2012-02-24T00:00:00"/>
    <s v="OFOI"/>
    <s v="LOGIS 3"/>
    <m/>
    <d v="2012-09-18T00:00:00"/>
    <m/>
    <m/>
    <d v="2012-12-05T00:00:00"/>
    <m/>
    <m/>
    <m/>
    <m/>
    <m/>
    <m/>
    <d v="1901-12-31T00:00:00"/>
    <d v="1902-12-31T00:00:00"/>
    <s v="oui"/>
    <m/>
    <m/>
    <m/>
    <m/>
    <m/>
    <m/>
    <s v="LE GOFF"/>
    <d v="2012-12-12T00:00:00"/>
    <m/>
    <n v="2312263.67"/>
    <d v="2014-06-12T00:00:00"/>
    <m/>
    <d v="2013-07-12T00:00:00"/>
    <d v="2014-09-15T00:00:00"/>
    <n v="1.6666666666666667"/>
    <m/>
    <d v="2013-02-04T00:00:00"/>
    <n v="2013"/>
    <n v="4.6333333333333337"/>
    <n v="13"/>
    <n v="14"/>
    <n v="20"/>
    <n v="21"/>
    <n v="7"/>
    <n v="7"/>
    <n v="5777.4969208543998"/>
    <n v="40442.4784459808"/>
    <s v="ok"/>
    <d v="2014-03-04T00:00:00"/>
    <d v="2014-10-31T00:00:00"/>
    <m/>
    <d v="2014-12-10T00:00:00"/>
    <m/>
    <d v="2014-11-06T00:00:00"/>
    <d v="2014-11-04T00:00:00"/>
    <n v="2014"/>
    <m/>
    <m/>
    <m/>
    <m/>
    <m/>
    <s v="ok"/>
    <m/>
    <s v=" "/>
    <d v="2014-11-26T00:00:00"/>
    <d v="2014-12-11T00:00:00"/>
    <d v="2015-11-16T00:00:00"/>
    <d v="2015-11-16T00:00:00"/>
    <s v="SO"/>
    <d v="2016-02-26T00:00:00"/>
    <d v="2017-06-20T00:00:00"/>
    <m/>
    <s v="ok"/>
    <m/>
    <d v="2016-02-26T00:00:00"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4-11-04T00:00:00"/>
    <m/>
    <m/>
    <m/>
    <m/>
    <n v="0"/>
    <n v="1398.2333333333333"/>
    <m/>
    <s v="Lot Cloison : SPB par CPR_x000a_Lot Etanchéité : RSOP par Corail_x000a_Lot Sol souple : RSOP par Corail_x000a_Lot peinture : RSOP par Marine Peinture_x000a_Soit 4 lots sur 15 lots = 26 %"/>
    <m/>
    <m/>
    <m/>
    <m/>
    <n v="2368881"/>
    <n v="2368881"/>
    <n v="0"/>
    <n v="2135.9936160428483"/>
    <n v="169205.78571428571"/>
    <m/>
    <n v="2068826"/>
    <n v="2068826"/>
    <n v="0"/>
    <m/>
    <n v="745095"/>
    <x v="13"/>
    <n v="53221.071428571428"/>
    <n v="0"/>
    <n v="1240121"/>
    <x v="15"/>
    <n v="347814"/>
    <n v="892307"/>
    <n v="0"/>
    <n v="88580.071428571435"/>
    <n v="100000"/>
    <n v="159905"/>
    <x v="14"/>
    <n v="70000"/>
    <n v="3.7952518509794288E-2"/>
    <m/>
    <x v="1"/>
    <n v="0"/>
    <n v="6421.7857142857147"/>
    <m/>
    <n v="0"/>
    <m/>
    <m/>
    <n v="339632.49384750001"/>
    <n v="210000"/>
    <n v="74642.857142857145"/>
    <n v="0"/>
    <n v="74642.857142857145"/>
    <n v="0.40351792401683728"/>
    <n v="118789.62334999999"/>
    <m/>
    <x v="9"/>
    <n v="2708513.4938475001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Le Cap (BH 228)"/>
    <s v="St Leu"/>
    <s v="TCO"/>
    <x v="2"/>
    <s v="PRLC 0135"/>
    <s v="YFR"/>
    <s v="VAF"/>
    <s v="patrimoine"/>
    <m/>
    <s v="BH 228"/>
    <s v="abandon servitude EP - si débordement on avisera"/>
    <m/>
    <m/>
    <m/>
    <n v="7382"/>
    <n v="243429"/>
    <n v="239545"/>
    <n v="10142.875"/>
    <n v="32.976022758060147"/>
    <n v="32.449878081820643"/>
    <n v="118.47636852830038"/>
    <n v="9981.0416666666661"/>
    <n v="307.58333333333331"/>
    <m/>
    <n v="0.27389325386074237"/>
    <s v="UD"/>
    <n v="750"/>
    <n v="0.3"/>
    <s v="LLTS"/>
    <n v="24"/>
    <m/>
    <n v="24"/>
    <m/>
    <m/>
    <n v="2021.88"/>
    <n v="2021.88"/>
    <n v="84.245000000000005"/>
    <m/>
    <m/>
    <m/>
    <m/>
    <m/>
    <n v="1700"/>
    <n v="486"/>
    <n v="6.5835816851801676E-2"/>
    <n v="1.5"/>
    <s v="collectif"/>
    <m/>
    <m/>
    <d v="2012-02-24T00:00:00"/>
    <s v="OFOI"/>
    <s v="LOGIS 2"/>
    <m/>
    <d v="2012-09-18T00:00:00"/>
    <m/>
    <m/>
    <d v="2012-11-19T00:00:00"/>
    <m/>
    <m/>
    <m/>
    <m/>
    <m/>
    <d v="2013-02-14T00:00:00"/>
    <d v="2015-02-14T00:00:00"/>
    <d v="2016-02-14T00:00:00"/>
    <s v="oui"/>
    <m/>
    <m/>
    <m/>
    <m/>
    <m/>
    <m/>
    <s v="LE GOFF"/>
    <d v="2012-12-13T00:00:00"/>
    <m/>
    <n v="3769955.4652301664"/>
    <d v="2014-06-13T00:00:00"/>
    <d v="2014-12-13T00:00:00"/>
    <d v="2014-07-30T00:00:00"/>
    <d v="2015-04-15T00:00:00"/>
    <n v="17.266666666666666"/>
    <m/>
    <d v="2013-10-25T00:00:00"/>
    <n v="2013"/>
    <n v="13.4"/>
    <n v="17"/>
    <n v="18"/>
    <n v="34"/>
    <n v="34"/>
    <n v="17"/>
    <n v="16"/>
    <n v="8408.8783613612504"/>
    <n v="142950.93214314125"/>
    <d v="2015-12-04T00:00:00"/>
    <d v="2015-03-25T00:00:00"/>
    <d v="2016-09-06T00:00:00"/>
    <d v="2016-07-30T00:00:00"/>
    <d v="2016-09-20T00:00:00"/>
    <s v="01/09/2016 + 14/09"/>
    <s v="ok"/>
    <d v="2016-09-14T00:00:00"/>
    <n v="2016"/>
    <s v="ok"/>
    <d v="2016-11-28T00:00:00"/>
    <m/>
    <s v="en cours"/>
    <s v="manque GAIA"/>
    <d v="2017-01-31T00:00:00"/>
    <d v="2017-09-01T00:00:00"/>
    <d v="2017-10-26T00:00:00"/>
    <d v="2016-12-12T00:00:00"/>
    <d v="2017-01-20T00:00:00"/>
    <m/>
    <m/>
    <m/>
    <d v="2017-04-04T00:00:00"/>
    <s v="dossier envoyé fin avril 2017 / mi février 17"/>
    <m/>
    <d v="2017-03-14T00:00:00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m/>
    <n v="0"/>
    <m/>
    <d v="2016-09-14T00:00:00"/>
    <m/>
    <m/>
    <m/>
    <m/>
    <n v="0"/>
    <n v="1420.9"/>
    <m/>
    <s v="Lot Bardage : EEC par MJF_x000a_Lot Charpente : EEC par MJF_x000a_Lot Elect : I2E par IEB_x000a_Lot Plomb : Sarhane par Ersec_x000a_Lot Plomb : Ersec par CSO_x000a_Soit 5 lot sur 14 = 35%_x000a_2 RO"/>
    <m/>
    <m/>
    <m/>
    <n v="3907101"/>
    <n v="4128660.85"/>
    <n v="4102565"/>
    <n v="-26095.850000000093"/>
    <n v="2029.0843175658297"/>
    <n v="170940.20833333334"/>
    <n v="3645377"/>
    <m/>
    <n v="-3645377"/>
    <n v="0.90148599079045189"/>
    <m/>
    <n v="1196851"/>
    <x v="14"/>
    <n v="49868.791666666664"/>
    <n v="0"/>
    <n v="2362522"/>
    <x v="16"/>
    <n v="585357"/>
    <n v="1777165"/>
    <n v="0"/>
    <n v="98438.416666666672"/>
    <n v="0"/>
    <n v="384000"/>
    <x v="15"/>
    <m/>
    <n v="9.3599979525004484E-2"/>
    <m/>
    <x v="1"/>
    <n v="0"/>
    <n v="16000"/>
    <m/>
    <n v="0"/>
    <m/>
    <m/>
    <n v="913316.69861249998"/>
    <n v="480000"/>
    <n v="85868.791666666672"/>
    <n v="148968.80577250005"/>
    <n v="92075.825240520833"/>
    <n v="0.46341443471424698"/>
    <n v="247321.11820000003"/>
    <m/>
    <x v="10"/>
    <n v="5015881.6986125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Max GOBETTI (AUBEPINES)"/>
    <s v="Tampon"/>
    <s v="CA SUD"/>
    <x v="2"/>
    <s v="PRLC 0104"/>
    <s v="ADE"/>
    <s v="VAF"/>
    <s v="patrimoine"/>
    <m/>
    <m/>
    <m/>
    <m/>
    <m/>
    <m/>
    <n v="2666"/>
    <n v="209000"/>
    <n v="154394"/>
    <n v="12294.117647058823"/>
    <n v="78.394598649662413"/>
    <n v="57.912228057014254"/>
    <n v="124.49121109498468"/>
    <n v="9082"/>
    <n v="156.8235294117647"/>
    <m/>
    <n v="0.46519129782445612"/>
    <s v="UB"/>
    <m/>
    <m/>
    <s v="LLTS"/>
    <n v="17"/>
    <m/>
    <n v="17"/>
    <m/>
    <m/>
    <n v="1240.2"/>
    <n v="1240.2"/>
    <n v="72.952941176470588"/>
    <m/>
    <m/>
    <m/>
    <m/>
    <m/>
    <n v="760"/>
    <n v="300"/>
    <n v="0.11252813203300825"/>
    <n v="3"/>
    <s v="collectif"/>
    <s v="non"/>
    <m/>
    <d v="2012-02-24T00:00:00"/>
    <s v="OFOI"/>
    <s v="LOGIS 1"/>
    <m/>
    <d v="2012-09-18T00:00:00"/>
    <m/>
    <m/>
    <d v="2012-11-12T00:00:00"/>
    <m/>
    <m/>
    <m/>
    <m/>
    <m/>
    <d v="2013-02-14T00:00:00"/>
    <d v="2015-02-14T00:00:00"/>
    <d v="2016-02-14T00:00:00"/>
    <s v="oui"/>
    <m/>
    <m/>
    <m/>
    <m/>
    <m/>
    <m/>
    <s v="BARET/GILLOT"/>
    <d v="2012-12-12T00:00:00"/>
    <m/>
    <n v="2452763.1145935361"/>
    <d v="2014-06-12T00:00:00"/>
    <d v="2014-12-12T00:00:00"/>
    <d v="2014-04-15T00:00:00"/>
    <d v="2015-02-12T00:00:00"/>
    <n v="22.633333333333333"/>
    <m/>
    <d v="2013-02-04T00:00:00"/>
    <n v="2013"/>
    <n v="4.6333333333333337"/>
    <n v="14"/>
    <n v="15"/>
    <n v="46"/>
    <n v="46"/>
    <n v="32"/>
    <n v="31"/>
    <n v="6627.916666666667"/>
    <n v="212093.33333333334"/>
    <s v="ok"/>
    <d v="2014-04-04T00:00:00"/>
    <d v="2016-12-09T00:00:00"/>
    <d v="2016-04-15T00:00:00"/>
    <d v="2017-02-22T00:00:00"/>
    <s v="OK "/>
    <s v="ok"/>
    <d v="2016-12-22T00:00:00"/>
    <n v="2016"/>
    <s v="ok"/>
    <s v="3 réserves à lever"/>
    <m/>
    <s v="notifiés en mai"/>
    <s v="manque 2 DOE"/>
    <d v="2017-07-12T00:00:00"/>
    <d v="2017-09-22T00:00:00"/>
    <m/>
    <d v="2017-02-13T00:00:00"/>
    <d v="2017-02-13T00:00:00"/>
    <m/>
    <m/>
    <m/>
    <d v="2017-06-29T00:00:00"/>
    <m/>
    <m/>
    <d v="2017-03-14T00:00:00"/>
    <s v="ok"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m/>
    <n v="0"/>
    <m/>
    <d v="2016-12-22T00:00:00"/>
    <m/>
    <m/>
    <m/>
    <m/>
    <n v="0"/>
    <n v="1424.2"/>
    <m/>
    <s v="Résiliation ABR 21/08/13 - attribution EKCB 04/02/14 _x000a_Résiliation SATP 20/03/14 - attribution TPL 19/09/14 _x000a_Résiliation CSMD 16/05/14 - attribution EKCB 20/07/14 _x000a_Résiliation IJAP 20/06/14 - attribution M Peinture 03/12/14 _x000a_Résiliation APOI 16/06/15 - attribution SOREMIR 04/09/15_x000a_Lot Elec : DTS par Idem_x000a_ soit 6 lots sur 15 soit 40%_x000a_3 RO"/>
    <m/>
    <m/>
    <m/>
    <n v="2618300"/>
    <n v="3231832.2199999997"/>
    <n v="3203899.37"/>
    <n v="-27932.849999999627"/>
    <n v="2583.3731414288018"/>
    <n v="188464.66882352941"/>
    <n v="2379882"/>
    <m/>
    <n v="-2379882"/>
    <n v="0.75185200115369855"/>
    <m/>
    <n v="750247"/>
    <x v="15"/>
    <n v="44132.176470588238"/>
    <n v="0"/>
    <n v="1395754"/>
    <x v="17"/>
    <n v="259962"/>
    <n v="1135792"/>
    <n v="0"/>
    <n v="82103.176470588238"/>
    <n v="0"/>
    <n v="339997"/>
    <x v="16"/>
    <n v="85000"/>
    <n v="7.9589578370559119E-2"/>
    <m/>
    <x v="1"/>
    <n v="0"/>
    <n v="14999.823529411764"/>
    <m/>
    <n v="0"/>
    <m/>
    <m/>
    <n v="508572.84914999997"/>
    <n v="340000"/>
    <n v="79132"/>
    <n v="0"/>
    <n v="79132"/>
    <n v="0.37842650836946623"/>
    <n v="157636.68239999999"/>
    <m/>
    <x v="11"/>
    <n v="3712472.2191500003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Desiré 2"/>
    <s v="Petite-Ile"/>
    <s v="CIVIS"/>
    <x v="2"/>
    <s v="PRLC 0133"/>
    <s v="YFR"/>
    <s v="RTA"/>
    <s v="patrimoine"/>
    <m/>
    <m/>
    <m/>
    <m/>
    <m/>
    <m/>
    <n v="606"/>
    <n v="89040"/>
    <n v="51520"/>
    <n v="12720"/>
    <n v="146.93069306930693"/>
    <n v="85.016501650165011"/>
    <n v="96.464949071300168"/>
    <n v="7360"/>
    <n v="86.571428571428569"/>
    <n v="300"/>
    <n v="0.88132013201320136"/>
    <s v="UC"/>
    <m/>
    <m/>
    <s v="LLTS"/>
    <n v="7"/>
    <m/>
    <n v="7"/>
    <m/>
    <m/>
    <n v="534.08000000000004"/>
    <n v="534.08000000000004"/>
    <n v="76.297142857142859"/>
    <m/>
    <n v="0.28999999999999998"/>
    <n v="0.56999999999999995"/>
    <n v="0.14000000000000001"/>
    <m/>
    <n v="217.58"/>
    <n v="238"/>
    <n v="0.39273927392739272"/>
    <n v="2"/>
    <s v="collectif"/>
    <m/>
    <m/>
    <d v="2012-02-24T00:00:00"/>
    <s v="OFOI"/>
    <s v="LOGIS 3"/>
    <m/>
    <d v="2012-09-19T00:00:00"/>
    <m/>
    <m/>
    <d v="2012-11-12T00:00:00"/>
    <m/>
    <m/>
    <m/>
    <m/>
    <m/>
    <m/>
    <d v="1901-12-31T00:00:00"/>
    <d v="1902-12-31T00:00:00"/>
    <s v="oui"/>
    <m/>
    <m/>
    <m/>
    <m/>
    <m/>
    <m/>
    <s v="LE GOFF"/>
    <d v="2012-12-12T00:00:00"/>
    <m/>
    <n v="1051215.9099999999"/>
    <d v="2014-06-12T00:00:00"/>
    <m/>
    <d v="2013-12-04T00:00:00"/>
    <d v="2014-07-15T00:00:00"/>
    <n v="1.9666666666666666"/>
    <m/>
    <d v="2013-05-06T00:00:00"/>
    <n v="2013"/>
    <n v="7.6333333333333337"/>
    <n v="10"/>
    <n v="11"/>
    <n v="14"/>
    <n v="16"/>
    <n v="4"/>
    <n v="5"/>
    <n v="2815.5833333333335"/>
    <n v="11262.333333333334"/>
    <s v="ok"/>
    <d v="2014-03-06T00:00:00"/>
    <d v="2014-07-11T00:00:00"/>
    <m/>
    <d v="2014-09-01T00:00:00"/>
    <m/>
    <d v="2014-09-12T00:00:00"/>
    <d v="2014-09-12T00:00:00"/>
    <n v="2014"/>
    <m/>
    <m/>
    <m/>
    <m/>
    <m/>
    <s v="ok"/>
    <d v="2015-03-19T00:00:00"/>
    <d v="2015-07-11T00:00:00"/>
    <d v="2014-10-03T00:00:00"/>
    <d v="2014-10-06T00:00:00"/>
    <s v="ok"/>
    <d v="2015-12-08T00:00:00"/>
    <s v="ok"/>
    <s v="ok"/>
    <m/>
    <d v="2017-04-26T00:00:00"/>
    <s v="ok"/>
    <m/>
    <s v="ok"/>
    <s v="ok"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4-09-12T00:00:00"/>
    <m/>
    <m/>
    <m/>
    <m/>
    <n v="0"/>
    <n v="1396.4666666666667"/>
    <m/>
    <m/>
    <m/>
    <m/>
    <m/>
    <m/>
    <n v="1127563"/>
    <n v="1127563"/>
    <n v="0"/>
    <n v="2111.2249101258235"/>
    <n v="161080.42857142858"/>
    <n v="970725"/>
    <m/>
    <n v="-970725"/>
    <n v="0.87898434499890454"/>
    <m/>
    <n v="294297"/>
    <x v="16"/>
    <n v="42042.428571428572"/>
    <n v="0"/>
    <n v="604971"/>
    <x v="18"/>
    <n v="112853"/>
    <n v="492118"/>
    <n v="0"/>
    <n v="86424.428571428565"/>
    <n v="0"/>
    <n v="177688"/>
    <x v="17"/>
    <m/>
    <n v="0.15758587325054121"/>
    <m/>
    <x v="1"/>
    <n v="0"/>
    <n v="25384"/>
    <m/>
    <n v="0"/>
    <m/>
    <m/>
    <n v="176884.08837750001"/>
    <n v="119543.69426743503"/>
    <n v="84504.099181062149"/>
    <n v="0"/>
    <n v="84504.099181062149"/>
    <n v="0.47252544420817433"/>
    <n v="52601.919999999998"/>
    <m/>
    <x v="12"/>
    <n v="1304447.0883775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Laurency "/>
    <s v="St Leu"/>
    <s v="TCO"/>
    <x v="2"/>
    <s v="PRLC 0101"/>
    <s v="APU"/>
    <s v="GGO"/>
    <s v="patrimoine"/>
    <m/>
    <m/>
    <s v="rétrocession voirie Mairie : dossier transmis à commune_x000a_lots à commercialiser : dépôt de pièces à faire chez notaire_x000a_vérifier avec notaire s'il faut afficher le PA modif_x000a_notaire prépare cession de la CH 505 à M. RIVIERE_x000a_"/>
    <m/>
    <m/>
    <m/>
    <n v="6156.15"/>
    <n v="164070"/>
    <n v="163875"/>
    <n v="7457.727272727273"/>
    <n v="26.651397383104701"/>
    <n v="26.619721741672961"/>
    <n v="97.053597867930122"/>
    <n v="7448.863636363636"/>
    <n v="279.82499999999999"/>
    <m/>
    <n v="0.27427856696149383"/>
    <s v="UD"/>
    <n v="890"/>
    <m/>
    <s v="LLTS"/>
    <n v="22"/>
    <m/>
    <n v="22"/>
    <m/>
    <m/>
    <n v="1688.5"/>
    <n v="1688.5"/>
    <n v="76.75"/>
    <n v="0"/>
    <n v="0.18181818181818182"/>
    <n v="0.36363636363636365"/>
    <n v="0.27272727272727271"/>
    <n v="0.18181818181818182"/>
    <n v="1841.6"/>
    <m/>
    <n v="0"/>
    <n v="1.5"/>
    <s v="MDV"/>
    <s v="non"/>
    <m/>
    <d v="2012-02-24T00:00:00"/>
    <s v="OFOI"/>
    <s v="LOGIS 2"/>
    <m/>
    <d v="2012-09-25T00:00:00"/>
    <m/>
    <m/>
    <d v="2012-10-15T00:00:00"/>
    <m/>
    <m/>
    <m/>
    <m/>
    <m/>
    <d v="2013-02-14T00:00:00"/>
    <d v="2015-02-14T00:00:00"/>
    <d v="2016-02-14T00:00:00"/>
    <s v="oui"/>
    <m/>
    <m/>
    <m/>
    <m/>
    <m/>
    <m/>
    <s v="LE GOFF"/>
    <d v="2012-12-13T00:00:00"/>
    <s v="ok"/>
    <n v="3339290.63"/>
    <d v="2014-06-13T00:00:00"/>
    <d v="2014-12-13T00:00:00"/>
    <d v="2013-10-22T00:00:00"/>
    <d v="2015-02-16T00:00:00"/>
    <n v="11.933333333333334"/>
    <m/>
    <d v="2013-01-21T00:00:00"/>
    <n v="2013"/>
    <n v="3.9333333333333331"/>
    <n v="14"/>
    <n v="15"/>
    <n v="33"/>
    <n v="36"/>
    <n v="19"/>
    <n v="21"/>
    <n v="8886.294089596"/>
    <n v="168839.587702324"/>
    <s v="ok"/>
    <d v="2014-03-21T00:00:00"/>
    <d v="2015-11-18T00:00:00"/>
    <m/>
    <d v="2015-11-30T00:00:00"/>
    <d v="2016-06-14T00:00:00"/>
    <s v="ok"/>
    <d v="2016-02-09T00:00:00"/>
    <n v="2016"/>
    <m/>
    <d v="2015-11-13T00:00:00"/>
    <m/>
    <s v="notifiés le 20/06/2016"/>
    <d v="2015-12-10T00:00:00"/>
    <d v="2016-03-01T00:00:00"/>
    <d v="2017-05-14T00:00:00"/>
    <d v="2016-11-18T00:00:00"/>
    <d v="2016-06-09T00:00:00"/>
    <d v="2016-06-10T00:00:00"/>
    <s v="ok"/>
    <d v="2017-05-29T00:00:00"/>
    <m/>
    <s v="14/09/2016_x000a_21/02/16"/>
    <m/>
    <s v="dossier envoyé 22/02/17"/>
    <d v="2017-03-14T00:00:00"/>
    <s v="ok"/>
    <d v="2017-07-31T00:00:00"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m/>
    <n v="0"/>
    <m/>
    <d v="2016-02-09T00:00:00"/>
    <m/>
    <m/>
    <n v="125069"/>
    <m/>
    <n v="0"/>
    <n v="1413.6333333333334"/>
    <m/>
    <s v="Lot 1.1 SATP_x000a_Lot 9 ERSEC _x000a_Soit 2 lots sur 15 = 13%_x000a_3 RO"/>
    <m/>
    <m/>
    <m/>
    <n v="3365389"/>
    <n v="3674939"/>
    <n v="3899161"/>
    <n v="224222"/>
    <n v="2309.2454841575363"/>
    <n v="177234.59090909091"/>
    <n v="3169080"/>
    <m/>
    <n v="-3169080"/>
    <n v="0.88045833685946884"/>
    <m/>
    <n v="929819"/>
    <x v="17"/>
    <n v="42264.5"/>
    <n v="0"/>
    <n v="1895079"/>
    <x v="19"/>
    <n v="328778"/>
    <n v="1566301"/>
    <n v="0"/>
    <n v="86139.954545454544"/>
    <n v="0"/>
    <n v="668000"/>
    <x v="18"/>
    <n v="110000"/>
    <n v="0.14310770958162539"/>
    <m/>
    <x v="1"/>
    <n v="0"/>
    <n v="25363.636363636364"/>
    <m/>
    <n v="0"/>
    <m/>
    <m/>
    <n v="1214321.7850000001"/>
    <n v="440000"/>
    <n v="87628.136363636368"/>
    <n v="91493"/>
    <n v="91786.909090909088"/>
    <n v="0.40825799874371793"/>
    <n v="167316.375"/>
    <m/>
    <x v="13"/>
    <n v="5113482.7850000001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aille en Queue"/>
    <s v="St Leu"/>
    <s v="TCO"/>
    <x v="2"/>
    <s v="PRLC 0138"/>
    <s v="YFR"/>
    <s v="VAF"/>
    <s v="patrimoine"/>
    <m/>
    <m/>
    <s v="servitude EP à faire : délib CM transmise au notaire qui doit faire un projet de servitude_x000a_rétrocéder voirie : BJE doit faire DA / DOE transmis à Commune"/>
    <m/>
    <m/>
    <m/>
    <n v="3000"/>
    <n v="200500"/>
    <n v="112930"/>
    <n v="20050"/>
    <n v="66.833333333333329"/>
    <n v="37.643333333333331"/>
    <n v="120.70587229312298"/>
    <n v="11293"/>
    <n v="300"/>
    <n v="691.97"/>
    <n v="0.31186000000000003"/>
    <s v="UD"/>
    <n v="850"/>
    <n v="0.3"/>
    <s v="LLTS"/>
    <n v="10"/>
    <m/>
    <n v="10"/>
    <m/>
    <m/>
    <n v="935.58"/>
    <n v="935.58"/>
    <n v="93.558000000000007"/>
    <m/>
    <m/>
    <n v="0.3"/>
    <n v="0.5"/>
    <n v="0.2"/>
    <n v="884"/>
    <n v="91"/>
    <n v="3.0333333333333334E-2"/>
    <n v="1.5"/>
    <s v="MDV"/>
    <m/>
    <m/>
    <d v="2012-02-24T00:00:00"/>
    <s v="OFOI"/>
    <s v="LOGIS 2"/>
    <m/>
    <d v="2012-09-27T00:00:00"/>
    <m/>
    <m/>
    <d v="2012-10-08T00:00:00"/>
    <m/>
    <m/>
    <m/>
    <m/>
    <m/>
    <d v="2013-02-14T00:00:00"/>
    <d v="2015-02-14T00:00:00"/>
    <d v="2016-02-14T00:00:00"/>
    <s v="oui"/>
    <m/>
    <m/>
    <m/>
    <m/>
    <m/>
    <m/>
    <s v="BARET/GILLOT"/>
    <d v="2012-12-12T00:00:00"/>
    <m/>
    <n v="1784992.95"/>
    <d v="2014-06-12T00:00:00"/>
    <d v="2014-12-12T00:00:00"/>
    <d v="2014-04-17T00:00:00"/>
    <d v="2014-12-12T00:00:00"/>
    <n v="10.033333333333333"/>
    <m/>
    <d v="2013-06-26T00:00:00"/>
    <n v="2013"/>
    <n v="9.0666666666666664"/>
    <n v="14"/>
    <n v="15"/>
    <n v="26"/>
    <n v="27"/>
    <n v="12"/>
    <n v="12"/>
    <n v="4669.3061346209588"/>
    <n v="56031.673615451509"/>
    <s v="ok"/>
    <d v="2014-08-26T00:00:00"/>
    <d v="2015-09-18T00:00:00"/>
    <m/>
    <d v="2015-10-08T00:00:00"/>
    <m/>
    <d v="2015-09-30T00:00:00"/>
    <d v="2015-10-09T00:00:00"/>
    <n v="2015"/>
    <m/>
    <s v="ok"/>
    <m/>
    <s v="ok"/>
    <s v="ok"/>
    <s v="ok"/>
    <s v="demande 05/12/16"/>
    <m/>
    <d v="2015-11-03T00:00:00"/>
    <s v="07/12/2015_x000a_15/03/16"/>
    <s v="ok"/>
    <d v="2017-02-16T00:00:00"/>
    <m/>
    <s v="24/02/2016_x000a_06/09/2016"/>
    <m/>
    <s v="dossier chez OFOI 08/03/2017"/>
    <d v="2017-03-14T00:00:00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m/>
    <n v="0"/>
    <m/>
    <d v="2015-10-09T00:00:00"/>
    <m/>
    <m/>
    <m/>
    <m/>
    <n v="0"/>
    <n v="1409.5333333333333"/>
    <m/>
    <s v="Lot Peinture : LSR par Marine Peinture_x000a_Lot ECS : Ersec par Gaia_x000a_Lot Plomb : Ersec par PSVR_x000a_Lot Cloison : CIOI par Austral Placo_x000a_Lot Charpente : CSMD par HJP_x000a_Lot Metallerie : CSMD par HJP_x000a_Lot Revetement Dur : PSOI par TPMIB_x000a_Soit 7 lots sur 15 soit 45 %_x000a_2 RO"/>
    <m/>
    <m/>
    <m/>
    <n v="1723671"/>
    <n v="2008085.62"/>
    <n v="2108085.62"/>
    <n v="100000"/>
    <n v="2253.2392954103339"/>
    <n v="210808.56200000001"/>
    <n v="1672116"/>
    <m/>
    <n v="-1672116"/>
    <n v="0.85017810943738525"/>
    <m/>
    <n v="553441"/>
    <x v="18"/>
    <n v="55344.1"/>
    <n v="0"/>
    <n v="1110259"/>
    <x v="20"/>
    <n v="257996"/>
    <n v="852263"/>
    <n v="0"/>
    <n v="111025.9"/>
    <n v="100000"/>
    <n v="165000"/>
    <x v="19"/>
    <m/>
    <n v="7.8270065710139419E-2"/>
    <m/>
    <x v="1"/>
    <n v="0"/>
    <n v="16500"/>
    <m/>
    <n v="0"/>
    <m/>
    <m/>
    <n v="666201.89926500001"/>
    <n v="200000"/>
    <n v="91844.1"/>
    <n v="206916.91"/>
    <n v="112535.791"/>
    <n v="0.42322822103740099"/>
    <n v="115301.53"/>
    <m/>
    <x v="14"/>
    <n v="2774287.5192650002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Lié ETHEVE (Poker As 2)"/>
    <s v="Tampon"/>
    <s v="CA SUD"/>
    <x v="3"/>
    <s v="PRLC 0139"/>
    <s v="APU"/>
    <s v="NLE"/>
    <s v="patrimoine"/>
    <m/>
    <m/>
    <m/>
    <s v="SODEGIS"/>
    <m/>
    <s v="ok"/>
    <n v="2330"/>
    <n v="800000"/>
    <n v="800000"/>
    <n v="18181.81818181818"/>
    <n v="343.34763948497852"/>
    <n v="343.34763948497852"/>
    <n v="218.75076904567243"/>
    <n v="18181.81818181818"/>
    <n v="52.954545454545453"/>
    <m/>
    <n v="1.5695836909871246"/>
    <s v="UA"/>
    <n v="580"/>
    <m/>
    <s v="LLS"/>
    <n v="44"/>
    <n v="44"/>
    <m/>
    <m/>
    <m/>
    <n v="3666.81"/>
    <n v="3657.13"/>
    <n v="83.116590909090917"/>
    <n v="0.13636363636363635"/>
    <m/>
    <n v="0.38636363636363635"/>
    <n v="0.38636363636363635"/>
    <n v="9.0909090909090912E-2"/>
    <n v="1428"/>
    <n v="0"/>
    <n v="0"/>
    <n v="4"/>
    <s v="collectif"/>
    <s v="oui"/>
    <m/>
    <d v="2013-03-15T00:00:00"/>
    <s v="INGEPAR"/>
    <s v="LS 75"/>
    <m/>
    <d v="2013-06-21T00:00:00"/>
    <m/>
    <d v="2013-07-12T00:00:00"/>
    <d v="2013-08-14T00:00:00"/>
    <m/>
    <d v="2013-10-03T00:00:00"/>
    <d v="2013-10-29T00:00:00"/>
    <d v="2014-01-29T00:00:00"/>
    <m/>
    <d v="2014-01-20T00:00:00"/>
    <d v="2016-01-20T00:00:00"/>
    <d v="2017-01-20T00:00:00"/>
    <s v="oui"/>
    <m/>
    <s v="CR + CASUD = 19/12/13_x000a_CG = 15/01/14_x000a_Commune = 15/01/14"/>
    <m/>
    <m/>
    <m/>
    <m/>
    <s v="QUINOT"/>
    <d v="2013-12-18T00:00:00"/>
    <m/>
    <n v="6818520.4699999997"/>
    <d v="2015-06-18T00:00:00"/>
    <d v="2015-12-18T00:00:00"/>
    <d v="2014-12-15T00:00:00"/>
    <d v="2016-01-29T00:00:00"/>
    <n v="9.1"/>
    <m/>
    <d v="2014-05-07T00:00:00"/>
    <n v="2014"/>
    <n v="10.666666666666666"/>
    <n v="15"/>
    <n v="16"/>
    <n v="28"/>
    <n v="29"/>
    <n v="13"/>
    <n v="13"/>
    <n v="27218"/>
    <n v="378325"/>
    <d v="2016-06-02T00:00:00"/>
    <d v="2015-08-07T00:00:00"/>
    <d v="2016-09-27T00:00:00"/>
    <d v="2016-12-15T00:00:00"/>
    <d v="2017-01-10T00:00:00"/>
    <d v="2017-01-10T00:00:00"/>
    <d v="2016-10-27T00:00:00"/>
    <d v="2016-10-28T00:00:00"/>
    <n v="2016"/>
    <s v="ok"/>
    <s v="ok"/>
    <d v="2017-04-26T00:00:00"/>
    <s v="ok"/>
    <s v="ok"/>
    <d v="2017-06-26T00:00:00"/>
    <s v="à faire après purge réserves RFCT"/>
    <d v="2017-09-27T00:00:00"/>
    <d v="2016-12-01T00:00:00"/>
    <d v="2017-05-18T00:00:00"/>
    <m/>
    <m/>
    <m/>
    <m/>
    <m/>
    <s v="à déposer"/>
    <d v="2017-08-08T00:00:00"/>
    <d v="2018-02-08T00:00:00"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m/>
    <n v="0"/>
    <m/>
    <m/>
    <m/>
    <m/>
    <n v="285000"/>
    <m/>
    <n v="0"/>
    <n v="0"/>
    <m/>
    <m/>
    <m/>
    <m/>
    <s v="oui"/>
    <n v="7150691"/>
    <n v="7322238.1426691692"/>
    <n v="7319203.1426691692"/>
    <n v="-3035"/>
    <n v="1996.0682835132361"/>
    <n v="166345.52596975386"/>
    <n v="6405313"/>
    <n v="6413222"/>
    <n v="7909"/>
    <n v="0.89314557182867627"/>
    <m/>
    <n v="2389181"/>
    <x v="19"/>
    <n v="55430.63636363636"/>
    <n v="49767"/>
    <n v="4761510"/>
    <x v="21"/>
    <n v="982573"/>
    <n v="3710650"/>
    <n v="-68287"/>
    <n v="106664.15909090909"/>
    <m/>
    <n v="1"/>
    <x v="9"/>
    <m/>
    <n v="1.3662689510149595E-7"/>
    <m/>
    <x v="8"/>
    <n v="0"/>
    <n v="2.2727272727272728E-2"/>
    <m/>
    <n v="0"/>
    <m/>
    <m/>
    <m/>
    <m/>
    <n v="55430.659090909088"/>
    <m/>
    <n v="55430.659090909088"/>
    <n v="0.33322602918089844"/>
    <m/>
    <m/>
    <x v="15"/>
    <n v="7319203.1426691692"/>
    <n v="343148"/>
    <n v="186489"/>
    <d v="2012-05-31T00:00:00"/>
    <n v="37298"/>
    <m/>
    <m/>
    <d v="2013-02-19T00:00:00"/>
    <n v="18649"/>
    <d v="2012-12-19T00:00:00"/>
    <n v="37298"/>
    <d v="2013-05-02T00:00:00"/>
    <n v="37298"/>
    <n v="41547"/>
    <n v="55946"/>
    <m/>
    <m/>
    <m/>
    <m/>
    <m/>
    <m/>
    <m/>
    <m/>
    <m/>
    <m/>
    <m/>
    <m/>
    <m/>
    <m/>
    <m/>
    <m/>
    <n v="37298"/>
    <m/>
    <m/>
    <m/>
    <m/>
    <m/>
  </r>
  <r>
    <s v="Barrage LLTS"/>
    <s v="St Paul"/>
    <s v="TCO"/>
    <x v="3"/>
    <s v="PRLC 0140"/>
    <s v="FBR"/>
    <s v="SRI"/>
    <s v="GPA"/>
    <m/>
    <m/>
    <m/>
    <s v="SODEGIS"/>
    <m/>
    <m/>
    <m/>
    <m/>
    <m/>
    <m/>
    <m/>
    <m/>
    <m/>
    <m/>
    <m/>
    <m/>
    <m/>
    <m/>
    <m/>
    <m/>
    <s v="LLTS"/>
    <n v="83"/>
    <m/>
    <n v="83"/>
    <m/>
    <m/>
    <n v="7367.96"/>
    <n v="7367.66"/>
    <n v="88.766987951807224"/>
    <n v="0"/>
    <n v="0.12048192771084337"/>
    <n v="0.50602409638554213"/>
    <n v="0.33734939759036142"/>
    <n v="3.614457831325301E-2"/>
    <m/>
    <m/>
    <e v="#DIV/0!"/>
    <n v="3.5"/>
    <s v="collectif"/>
    <s v="oui"/>
    <d v="2012-09-18T00:00:00"/>
    <d v="2013-03-15T00:00:00"/>
    <s v="OFOI"/>
    <s v="SNC DORIQUE"/>
    <n v="415000"/>
    <d v="2013-07-08T00:00:00"/>
    <m/>
    <d v="2014-04-18T00:00:00"/>
    <d v="2015-06-05T00:00:00"/>
    <m/>
    <d v="2015-06-08T00:00:00"/>
    <d v="2015-06-16T00:00:00"/>
    <d v="2015-09-16T00:00:00"/>
    <d v="2015-07-07T00:00:00"/>
    <d v="2015-09-08T00:00:00"/>
    <d v="2017-09-08T00:00:00"/>
    <d v="2018-09-08T00:00:00"/>
    <s v="oui"/>
    <s v="ok"/>
    <s v="TCO 08/01/2016"/>
    <s v="SO"/>
    <s v="SO"/>
    <d v="2016-01-29T00:00:00"/>
    <s v="SO"/>
    <m/>
    <d v="2015-12-22T00:00:00"/>
    <m/>
    <n v="18979814"/>
    <d v="2017-06-22T00:00:00"/>
    <d v="2017-12-22T00:00:00"/>
    <m/>
    <m/>
    <m/>
    <m/>
    <d v="2015-05-15T00:00:00"/>
    <n v="2015"/>
    <n v="22.533333333333335"/>
    <n v="24"/>
    <n v="25"/>
    <n v="29"/>
    <n v="30"/>
    <n v="5"/>
    <n v="5"/>
    <n v="38106.375015552585"/>
    <n v="190531.87507776293"/>
    <d v="2016-12-08T00:00:00"/>
    <d v="2017-05-15T00:00:00"/>
    <d v="2017-10-30T00:00:00"/>
    <d v="1901-12-31T00:00:00"/>
    <d v="2017-12-06T00:00:00"/>
    <m/>
    <d v="2017-11-27T00:00:00"/>
    <d v="2017-11-29T00:00:00"/>
    <n v="2017"/>
    <d v="2017-08-31T00:00:00"/>
    <m/>
    <s v="envoi Lydie 29/01/18"/>
    <m/>
    <m/>
    <m/>
    <m/>
    <m/>
    <m/>
    <m/>
    <m/>
    <m/>
    <m/>
    <m/>
    <m/>
    <m/>
    <s v="dde 13/12/17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d v="2017-11-29T00:00:00"/>
    <m/>
    <m/>
    <m/>
    <m/>
    <n v="0"/>
    <n v="1435.6"/>
    <m/>
    <m/>
    <m/>
    <m/>
    <s v="oui"/>
    <n v="14323815"/>
    <n v="14323814"/>
    <n v="14364754"/>
    <n v="40940"/>
    <n v="1949.6243193502678"/>
    <n v="173069.32530120481"/>
    <n v="13043765"/>
    <n v="12989943"/>
    <n v="-53822"/>
    <n v="0.92975823792461976"/>
    <m/>
    <n v="4234760"/>
    <x v="20"/>
    <n v="53283.240963855424"/>
    <n v="187749"/>
    <n v="8429054"/>
    <x v="22"/>
    <n v="1278025"/>
    <n v="7004220"/>
    <n v="-146809"/>
    <n v="99786.084337349399"/>
    <m/>
    <n v="1660000"/>
    <x v="20"/>
    <n v="415000"/>
    <n v="8.6670471349526768E-2"/>
    <m/>
    <x v="1"/>
    <n v="-415000"/>
    <n v="15000"/>
    <m/>
    <n v="-5000"/>
    <m/>
    <m/>
    <n v="2467086.73961312"/>
    <n v="1660000"/>
    <n v="88283.240963855424"/>
    <n v="0"/>
    <n v="88283.240963855424"/>
    <n v="0.45620980509805781"/>
    <n v="770132.02990000008"/>
    <m/>
    <x v="2"/>
    <n v="16831840.73961312"/>
    <n v="965006"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Rue de l'Eglise"/>
    <s v="Entre-Deux"/>
    <s v="CA SUD"/>
    <x v="3"/>
    <s v="PRLC 0148"/>
    <s v="APU"/>
    <s v="GGO"/>
    <s v="GPA"/>
    <m/>
    <m/>
    <m/>
    <s v="EPFR"/>
    <s v="BARET"/>
    <d v="2013-11-13T00:00:00"/>
    <n v="1547"/>
    <n v="259906"/>
    <n v="259906"/>
    <n v="14439.222222222223"/>
    <n v="168.00646412411118"/>
    <n v="168.00646412411118"/>
    <n v="196.37036757205999"/>
    <n v="14439.222222222223"/>
    <n v="85.944444444444443"/>
    <n v="836"/>
    <n v="0.85555914673561728"/>
    <s v="UA"/>
    <n v="383"/>
    <n v="0"/>
    <s v="LLTS"/>
    <n v="18"/>
    <m/>
    <n v="18"/>
    <m/>
    <m/>
    <n v="1340.98"/>
    <n v="1323.55"/>
    <n v="73.530555555555551"/>
    <m/>
    <m/>
    <m/>
    <m/>
    <m/>
    <m/>
    <n v="0"/>
    <n v="0"/>
    <n v="3.5"/>
    <s v="collectif"/>
    <s v="oui"/>
    <d v="2013-02-08T00:00:00"/>
    <d v="2013-03-15T00:00:00"/>
    <s v="OFOI"/>
    <s v="LOGIS 5"/>
    <m/>
    <d v="2013-07-08T00:00:00"/>
    <m/>
    <d v="2013-08-28T00:00:00"/>
    <d v="2013-08-29T00:00:00"/>
    <m/>
    <d v="2013-10-02T00:00:00"/>
    <d v="2013-10-29T00:00:00"/>
    <d v="2014-01-29T00:00:00"/>
    <m/>
    <d v="2014-01-20T00:00:00"/>
    <d v="2016-01-20T00:00:00"/>
    <d v="2017-01-20T00:00:00"/>
    <s v="oui"/>
    <m/>
    <s v="CR + CASUD = 19/12/13_x000a_CG = 15/01/14_x000a_Commune = 15/01/14"/>
    <m/>
    <m/>
    <m/>
    <m/>
    <s v="BARET/GILLOT"/>
    <d v="2013-12-17T00:00:00"/>
    <m/>
    <n v="2595669.38"/>
    <d v="2015-06-17T00:00:00"/>
    <m/>
    <d v="2015-05-29T00:00:00"/>
    <d v="2016-04-15T00:00:00"/>
    <n v="19.8"/>
    <m/>
    <d v="2014-04-22T00:00:00"/>
    <n v="2014"/>
    <n v="9.6"/>
    <n v="15"/>
    <n v="16"/>
    <n v="42"/>
    <n v="43"/>
    <n v="27"/>
    <n v="27"/>
    <n v="7190.7782225148085"/>
    <n v="194151.01200789982"/>
    <d v="2016-01-13T00:00:00"/>
    <d v="2015-07-22T00:00:00"/>
    <d v="2017-11-15T00:00:00"/>
    <d v="2017-05-29T00:00:00"/>
    <d v="2017-12-13T00:00:00"/>
    <m/>
    <d v="2017-11-20T00:00:00"/>
    <d v="2017-11-30T00:00:00"/>
    <n v="2017"/>
    <d v="2017-09-21T00:00:00"/>
    <m/>
    <m/>
    <m/>
    <m/>
    <m/>
    <m/>
    <m/>
    <d v="2018-02-20T00:00:00"/>
    <d v="2018-02-26T00:00:00"/>
    <m/>
    <m/>
    <m/>
    <m/>
    <m/>
    <m/>
    <s v="dde 13/12/17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carrelage : EEPC par _x000a_Lot plomberie : Attitude Plomb par _x000a_Lot ECS : DYELL par _x000a_Lot Charpente : Sorlier par JP Hoarau_x000a_Lot Charpente : JP Hoarau par CMOI_x000a_Soit 5 sur 15 lots  = 33 %_x000a_5 RO"/>
    <m/>
    <m/>
    <s v="oui"/>
    <n v="2715924"/>
    <n v="3404922.2556957966"/>
    <n v="3348225.2556957966"/>
    <n v="-56697"/>
    <n v="2496.8495098329554"/>
    <n v="186012.51420532202"/>
    <n v="2383274"/>
    <n v="2329832"/>
    <n v="-53442"/>
    <n v="0.71464855032431562"/>
    <m/>
    <n v="717900"/>
    <x v="21"/>
    <n v="40940.222222222219"/>
    <n v="19024"/>
    <n v="1504024"/>
    <x v="23"/>
    <n v="341701"/>
    <n v="1148602"/>
    <n v="-13721"/>
    <n v="82794.611111111109"/>
    <m/>
    <n v="494000"/>
    <x v="21"/>
    <m/>
    <n v="0.12902357727130453"/>
    <m/>
    <x v="1"/>
    <n v="-62000"/>
    <n v="24000"/>
    <m/>
    <n v="-3444.4444444444443"/>
    <m/>
    <m/>
    <n v="0"/>
    <n v="0"/>
    <n v="64940.222222222219"/>
    <n v="0"/>
    <n v="64940.222222222219"/>
    <n v="0.34911749082935739"/>
    <m/>
    <m/>
    <x v="16"/>
    <n v="3348225.2556957966"/>
    <n v="149910"/>
    <n v="66209"/>
    <d v="2012-12-14T00:00:00"/>
    <n v="14755"/>
    <m/>
    <m/>
    <d v="2013-04-09T00:00:00"/>
    <n v="4453"/>
    <d v="2013-02-06T00:00:00"/>
    <n v="14755"/>
    <d v="2013-06-28T00:00:00"/>
    <n v="12951"/>
    <n v="41514"/>
    <n v="19295"/>
    <m/>
    <m/>
    <m/>
    <m/>
    <m/>
    <m/>
    <m/>
    <m/>
    <m/>
    <m/>
    <m/>
    <m/>
    <m/>
    <m/>
    <m/>
    <m/>
    <n v="14755"/>
    <m/>
    <m/>
    <m/>
    <m/>
    <m/>
  </r>
  <r>
    <s v="Tamariniers LLTS"/>
    <s v="St Leu"/>
    <s v="TCO"/>
    <x v="3"/>
    <s v="PRLC 0113"/>
    <s v="FBR"/>
    <m/>
    <m/>
    <m/>
    <s v="CX 671 / 1141"/>
    <m/>
    <s v="EPFR"/>
    <s v="POPINEAU"/>
    <m/>
    <m/>
    <m/>
    <m/>
    <m/>
    <m/>
    <m/>
    <m/>
    <m/>
    <m/>
    <m/>
    <m/>
    <m/>
    <m/>
    <m/>
    <s v="LLTS"/>
    <n v="44"/>
    <m/>
    <n v="44"/>
    <m/>
    <m/>
    <n v="3272.11"/>
    <n v="3318.11"/>
    <n v="75.411590909090918"/>
    <m/>
    <m/>
    <m/>
    <m/>
    <m/>
    <m/>
    <m/>
    <e v="#DIV/0!"/>
    <n v="3.5"/>
    <s v="collectif"/>
    <s v="oui"/>
    <d v="2012-09-18T00:00:00"/>
    <d v="2012-02-24T00:00:00"/>
    <s v="OFOI"/>
    <s v="DOMBEYA 3"/>
    <n v="220000"/>
    <d v="2013-07-10T00:00:00"/>
    <m/>
    <d v="2013-09-20T00:00:00"/>
    <d v="2013-09-26T00:00:00"/>
    <m/>
    <d v="2013-10-02T00:00:00"/>
    <d v="2013-11-05T00:00:00"/>
    <d v="2014-02-05T00:00:00"/>
    <m/>
    <d v="2014-01-20T00:00:00"/>
    <d v="2016-01-20T00:00:00"/>
    <d v="2017-01-20T00:00:00"/>
    <s v="oui"/>
    <m/>
    <d v="2014-01-20T00:00:00"/>
    <m/>
    <m/>
    <m/>
    <m/>
    <m/>
    <d v="2013-12-27T00:00:00"/>
    <m/>
    <n v="13003860.789999999"/>
    <d v="2015-06-27T00:00:00"/>
    <m/>
    <d v="2015-06-04T00:00:00"/>
    <m/>
    <m/>
    <m/>
    <d v="2014-06-11T00:00:00"/>
    <n v="2014"/>
    <n v="11.2"/>
    <n v="24"/>
    <n v="25"/>
    <n v="28"/>
    <n v="29"/>
    <n v="4"/>
    <n v="4"/>
    <n v="17948.329338702748"/>
    <n v="71793.317354810992"/>
    <d v="2016-06-17T00:00:00"/>
    <d v="2016-06-11T00:00:00"/>
    <d v="2016-11-08T00:00:00"/>
    <d v="2016-12-31T00:00:00"/>
    <d v="2016-12-22T00:00:00"/>
    <d v="2017-01-09T00:00:00"/>
    <d v="2016-11-18T00:00:00"/>
    <d v="2016-11-30T00:00:00"/>
    <n v="2016"/>
    <d v="2016-10-27T00:00:00"/>
    <s v="réserves à lever"/>
    <m/>
    <s v="à notifier semaine du 20/02/17_x000a_MD faites à 5 entreprises"/>
    <s v="en cours"/>
    <s v="non conformités à lever"/>
    <s v="envoyé 02/06/17"/>
    <m/>
    <d v="2017-03-01T00:00:00"/>
    <m/>
    <m/>
    <m/>
    <m/>
    <d v="2017-03-01T00:00:00"/>
    <s v="élément transmis à OFOI 03/10/17"/>
    <s v="à déposer"/>
    <s v="ok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élec : Eneris par Espace Soleil_x000a_Soit 1 sur 15_x000a_4 RO"/>
    <m/>
    <m/>
    <s v="oui"/>
    <n v="6402537"/>
    <n v="6402537"/>
    <n v="6464079"/>
    <n v="61542"/>
    <n v="1975.5078527311123"/>
    <n v="146910.88636363635"/>
    <n v="5737343"/>
    <n v="5833192"/>
    <n v="95849"/>
    <n v="0.91492281934489406"/>
    <m/>
    <n v="1799492"/>
    <x v="22"/>
    <n v="43298.454545454544"/>
    <n v="105640"/>
    <n v="3703045"/>
    <x v="24"/>
    <n v="473086"/>
    <n v="3205861"/>
    <n v="-24098"/>
    <n v="83612.431818181823"/>
    <m/>
    <n v="900000"/>
    <x v="22"/>
    <m/>
    <n v="0.13613695005893336"/>
    <m/>
    <x v="1"/>
    <n v="-20000"/>
    <n v="20000"/>
    <m/>
    <n v="-454.54545454545456"/>
    <m/>
    <m/>
    <n v="0"/>
    <n v="0"/>
    <n v="63298.454545454544"/>
    <n v="0"/>
    <n v="63298.454545454544"/>
    <n v="0.45371634850544579"/>
    <n v="325591.79499999998"/>
    <m/>
    <x v="2"/>
    <n v="6464079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IVET-VELIN"/>
    <s v="Tampon"/>
    <s v="CA SUD"/>
    <x v="3"/>
    <s v="PRLC 0147"/>
    <s v="YFR"/>
    <s v="GGO"/>
    <s v="GPA"/>
    <m/>
    <m/>
    <m/>
    <s v="Pivet-Velin"/>
    <s v="AUBERT"/>
    <d v="2013-12-11T00:00:00"/>
    <n v="5146"/>
    <n v="1069200"/>
    <n v="1069200"/>
    <n v="19800"/>
    <n v="207.77302759424796"/>
    <n v="207.77302759424796"/>
    <n v="226.47840067104713"/>
    <n v="19800"/>
    <n v="95.296296296296291"/>
    <n v="2205.9499999999998"/>
    <n v="0.91740769529731825"/>
    <s v="UA"/>
    <n v="570"/>
    <n v="0.15"/>
    <s v="LLS"/>
    <n v="54"/>
    <n v="54"/>
    <m/>
    <m/>
    <m/>
    <n v="4668.4799999999996"/>
    <n v="4720.9799999999996"/>
    <n v="87.425555555555547"/>
    <m/>
    <m/>
    <m/>
    <m/>
    <m/>
    <m/>
    <n v="0"/>
    <n v="0"/>
    <s v="4/5"/>
    <s v="collectif"/>
    <s v="oui"/>
    <d v="2012-11-20T00:00:00"/>
    <d v="2013-03-15T00:00:00"/>
    <s v="INGEPAR"/>
    <s v="LS 74"/>
    <m/>
    <d v="2013-07-11T00:00:00"/>
    <m/>
    <d v="2013-08-12T00:00:00"/>
    <d v="2013-08-22T00:00:00"/>
    <m/>
    <d v="2013-10-03T00:00:00"/>
    <d v="2013-10-29T00:00:00"/>
    <d v="2014-01-29T00:00:00"/>
    <m/>
    <d v="2014-01-20T00:00:00"/>
    <d v="2016-01-20T00:00:00"/>
    <d v="2017-01-20T00:00:00"/>
    <s v="oui"/>
    <m/>
    <s v="CR + CASUD = 19/12/13_x000a_CG = 15/01/14_x000a_Commune = 15/01/14"/>
    <m/>
    <m/>
    <m/>
    <m/>
    <s v="QUINOT"/>
    <d v="2013-12-18T00:00:00"/>
    <m/>
    <n v="9174750.6199999992"/>
    <d v="2015-06-18T00:00:00"/>
    <d v="2015-12-18T00:00:00"/>
    <d v="2016-10-13T00:00:00"/>
    <d v="2016-10-25T00:00:00"/>
    <n v="13.766666666666667"/>
    <m/>
    <d v="2014-05-05T00:00:00"/>
    <n v="2014"/>
    <n v="9.9333333333333336"/>
    <n v="15"/>
    <n v="16"/>
    <n v="42"/>
    <n v="43"/>
    <n v="27"/>
    <n v="27"/>
    <n v="30520.815629938501"/>
    <n v="824062.02200833953"/>
    <d v="2016-06-06T00:00:00"/>
    <d v="2015-08-05T00:00:00"/>
    <d v="2017-11-15T00:00:00"/>
    <d v="2018-10-13T00:00:00"/>
    <m/>
    <m/>
    <d v="2017-11-27T00:00:00"/>
    <d v="2017-12-12T00:00:00"/>
    <n v="2017"/>
    <d v="2017-08-23T00:00:00"/>
    <m/>
    <m/>
    <m/>
    <m/>
    <m/>
    <m/>
    <m/>
    <d v="2018-02-21T00:00:00"/>
    <m/>
    <m/>
    <m/>
    <m/>
    <m/>
    <m/>
    <m/>
    <s v="dde 13/12/17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Men Ext_x000a_Lot Charpente_x000a_Lot ECS_x000a_Soit 3 sur 17 lots = 17 %_x000a_2 RO"/>
    <m/>
    <m/>
    <s v="oui"/>
    <n v="9099071"/>
    <n v="9922066.7400000002"/>
    <n v="10029068.74"/>
    <n v="107002"/>
    <n v="2148.2514094523272"/>
    <n v="185723.49518518519"/>
    <n v="8367242"/>
    <n v="8644229"/>
    <n v="276987"/>
    <n v="0.86100550478659632"/>
    <m/>
    <n v="3120981"/>
    <x v="23"/>
    <n v="60877.777777777781"/>
    <n v="166419"/>
    <n v="5978090"/>
    <x v="25"/>
    <n v="1256197"/>
    <n v="4662476"/>
    <n v="-59417"/>
    <n v="109605.05555555556"/>
    <m/>
    <n v="1"/>
    <x v="9"/>
    <m/>
    <n v="9.9710155142480356E-8"/>
    <m/>
    <x v="1"/>
    <n v="0"/>
    <n v="1.8518518518518517E-2"/>
    <m/>
    <n v="0"/>
    <m/>
    <m/>
    <m/>
    <m/>
    <n v="60877.796296296299"/>
    <n v="0"/>
    <n v="60877.796296296299"/>
    <n v="0.32778726372554506"/>
    <m/>
    <m/>
    <x v="17"/>
    <n v="10029068.74"/>
    <n v="455729"/>
    <n v="225585"/>
    <d v="2012-10-25T00:00:00"/>
    <n v="42868"/>
    <m/>
    <m/>
    <m/>
    <m/>
    <d v="2013-02-27T00:00:00"/>
    <n v="44712"/>
    <d v="2013-05-02T00:00:00"/>
    <n v="65685"/>
    <n v="41547"/>
    <n v="65685"/>
    <m/>
    <m/>
    <m/>
    <m/>
    <m/>
    <m/>
    <m/>
    <m/>
    <m/>
    <m/>
    <d v="2017-03-28T00:00:00"/>
    <n v="6635"/>
    <m/>
    <m/>
    <m/>
    <m/>
    <n v="44712"/>
    <m/>
    <m/>
    <m/>
    <m/>
    <m/>
  </r>
  <r>
    <s v="Coco Huet (Parc à Moutons)"/>
    <s v="St Joseph"/>
    <s v="CA SUD"/>
    <x v="3"/>
    <s v="PRLC 0121"/>
    <s v="YFR"/>
    <s v="EGI"/>
    <s v="GPA"/>
    <n v="692909.23"/>
    <m/>
    <s v="_x000a_1 LOT sous compromis_x000a_Obtenir conformité Mairie"/>
    <s v="Commune"/>
    <s v="BARET"/>
    <d v="2013-12-19T00:00:00"/>
    <n v="11354"/>
    <n v="444858"/>
    <n v="247250"/>
    <n v="13084.058823529413"/>
    <n v="39.180729258411134"/>
    <n v="21.776466443544127"/>
    <n v="93.413630644960193"/>
    <n v="7272.0588235294117"/>
    <n v="333.94117647058823"/>
    <m/>
    <n v="0.23311872467852737"/>
    <s v="NAUD"/>
    <n v="300"/>
    <m/>
    <s v="LLTS"/>
    <n v="34"/>
    <m/>
    <n v="34"/>
    <m/>
    <m/>
    <n v="2592.75"/>
    <n v="2646.83"/>
    <n v="77.847941176470584"/>
    <m/>
    <m/>
    <m/>
    <m/>
    <m/>
    <n v="1035"/>
    <s v="x"/>
    <e v="#VALUE!"/>
    <n v="2"/>
    <s v="MDV"/>
    <s v="non"/>
    <d v="2012-09-21T00:00:00"/>
    <d v="2013-03-15T00:00:00"/>
    <s v="INGEPAR"/>
    <s v="LS 77"/>
    <m/>
    <d v="2013-07-29T00:00:00"/>
    <m/>
    <d v="2013-08-12T00:00:00"/>
    <d v="2013-08-23T00:00:00"/>
    <m/>
    <d v="2013-10-02T00:00:00"/>
    <d v="2013-10-29T00:00:00"/>
    <d v="2014-01-29T00:00:00"/>
    <m/>
    <d v="2014-01-20T00:00:00"/>
    <d v="2016-01-20T00:00:00"/>
    <d v="2017-01-20T00:00:00"/>
    <s v="oui"/>
    <m/>
    <s v="CR + CASUD = 19/12/13_x000a_CG = 15/01/14_x000a_Commune = 15/01/14"/>
    <m/>
    <m/>
    <m/>
    <m/>
    <s v="MAREL"/>
    <d v="2013-12-19T00:00:00"/>
    <m/>
    <n v="5177307.8499999996"/>
    <d v="2015-06-19T00:00:00"/>
    <m/>
    <d v="2014-12-15T00:00:00"/>
    <d v="2015-11-15T00:00:00"/>
    <n v="25"/>
    <m/>
    <d v="2014-03-31T00:00:00"/>
    <n v="2014"/>
    <n v="8.1666666666666661"/>
    <n v="18"/>
    <n v="19"/>
    <n v="43"/>
    <n v="44"/>
    <n v="25"/>
    <n v="25"/>
    <n v="14196.666666666666"/>
    <n v="354916.66666666663"/>
    <d v="2015-12-04T00:00:00"/>
    <d v="2015-10-01T00:00:00"/>
    <d v="2017-11-15T00:00:00"/>
    <d v="2016-12-15T00:00:00"/>
    <m/>
    <m/>
    <d v="2017-11-15T00:00:00"/>
    <d v="2017-12-04T00:00:00"/>
    <n v="2017"/>
    <d v="2017-09-04T00:00:00"/>
    <m/>
    <m/>
    <m/>
    <m/>
    <m/>
    <m/>
    <m/>
    <d v="2018-02-22T00:00:00"/>
    <m/>
    <m/>
    <m/>
    <m/>
    <m/>
    <m/>
    <m/>
    <s v="dde 13/12/17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n v="51376"/>
    <m/>
    <n v="30000"/>
    <m/>
    <n v="0"/>
    <n v="0"/>
    <m/>
    <s v="Lot Charpente Couverture : Trait Carré par HJP_x000a_Lot Gros-œuvre : Robert Construction par CH2D_x000a_Lot Men Ext :APOI par Espace Alu_x000a_Lot électricité : Electric Services par_x000a_Lot Gros-Œuvre : CH2D par DRMS_x000a_Lot OPC_x000a_Lot plomberie : Fluides OI par_x000a_Soit 6 lots sur 14 = 42%_x000a_3 RO"/>
    <m/>
    <m/>
    <s v="oui"/>
    <n v="5039187"/>
    <n v="5626169.0199999996"/>
    <n v="5885060.5999999996"/>
    <n v="258891.58000000007"/>
    <n v="2269.8141355703401"/>
    <n v="173090.01764705882"/>
    <n v="4467345"/>
    <n v="4848194"/>
    <n v="380849"/>
    <n v="0.81070426942132634"/>
    <m/>
    <n v="1408892"/>
    <x v="24"/>
    <n v="47063.87"/>
    <n v="191279.58000000007"/>
    <n v="2956295"/>
    <x v="26"/>
    <n v="650910"/>
    <n v="2372997"/>
    <n v="67612"/>
    <n v="88938.441176470587"/>
    <m/>
    <n v="680000"/>
    <x v="23"/>
    <m/>
    <n v="0.11554681357061983"/>
    <m/>
    <x v="1"/>
    <n v="0"/>
    <n v="20000"/>
    <m/>
    <n v="0"/>
    <m/>
    <m/>
    <n v="1298644.9078014998"/>
    <n v="680000"/>
    <n v="87063.87"/>
    <n v="0"/>
    <n v="87063.87"/>
    <n v="0.42707533531758041"/>
    <n v="252442.25"/>
    <m/>
    <x v="18"/>
    <n v="7183705.5078014992"/>
    <n v="258409"/>
    <n v="349737"/>
    <d v="2011-08-24T00:00:00"/>
    <n v="210013"/>
    <m/>
    <m/>
    <m/>
    <m/>
    <d v="2013-02-27T00:00:00"/>
    <n v="39806"/>
    <d v="2013-07-30T00:00:00"/>
    <n v="24327"/>
    <n v="41570"/>
    <n v="36491"/>
    <m/>
    <m/>
    <s v="ok"/>
    <m/>
    <d v="2016-12-15T00:00:00"/>
    <n v="39100"/>
    <m/>
    <m/>
    <m/>
    <m/>
    <m/>
    <m/>
    <m/>
    <m/>
    <m/>
    <m/>
    <n v="39806"/>
    <m/>
    <m/>
    <m/>
    <m/>
    <m/>
  </r>
  <r>
    <s v="Jean MOREL (Amaryllis)"/>
    <s v="Tampon"/>
    <s v="CA SUD"/>
    <x v="3"/>
    <s v="PRLC 0109"/>
    <s v="OET"/>
    <s v="MMA"/>
    <s v="patrimoine"/>
    <m/>
    <m/>
    <m/>
    <s v="Commune"/>
    <s v="LE GOFF"/>
    <m/>
    <n v="2250"/>
    <n v="102507"/>
    <n v="68451"/>
    <n v="11389.666666666666"/>
    <n v="45.558666666666667"/>
    <n v="30.422666666666668"/>
    <n v="96.496842223976543"/>
    <n v="7605.666666666667"/>
    <n v="250"/>
    <m/>
    <n v="0.31527111111111111"/>
    <s v="UC"/>
    <m/>
    <m/>
    <s v="LLTS"/>
    <n v="9"/>
    <m/>
    <n v="9"/>
    <m/>
    <m/>
    <n v="709.36"/>
    <n v="709.36"/>
    <n v="78.817777777777778"/>
    <n v="0"/>
    <n v="0"/>
    <n v="0.44444444444444442"/>
    <n v="0.44444444444444442"/>
    <n v="0.1111111111111111"/>
    <m/>
    <s v="x"/>
    <e v="#VALUE!"/>
    <n v="2"/>
    <s v="collectif"/>
    <m/>
    <m/>
    <d v="2012-02-24T00:00:00"/>
    <s v="OFOI"/>
    <s v="LOGIS 4"/>
    <m/>
    <d v="2013-07-31T00:00:00"/>
    <m/>
    <d v="2013-08-30T00:00:00"/>
    <d v="2013-09-02T00:00:00"/>
    <m/>
    <d v="2013-10-02T00:00:00"/>
    <d v="2013-10-29T00:00:00"/>
    <d v="2014-01-29T00:00:00"/>
    <m/>
    <d v="2014-01-20T00:00:00"/>
    <d v="2016-01-20T00:00:00"/>
    <d v="2017-01-20T00:00:00"/>
    <s v="oui"/>
    <m/>
    <s v="CR + CASUD = 19/12/13_x000a_CG = 15/01/14_x000a_Commune = 15/01/14"/>
    <m/>
    <m/>
    <m/>
    <m/>
    <s v="LE GOFF"/>
    <d v="2013-12-17T00:00:00"/>
    <m/>
    <n v="1448775.1224289911"/>
    <d v="2015-06-17T00:00:00"/>
    <d v="2015-12-17T00:00:00"/>
    <d v="2015-03-03T00:00:00"/>
    <d v="2015-07-15T00:00:00"/>
    <n v="12.566666666666666"/>
    <m/>
    <d v="2014-09-18T00:00:00"/>
    <n v="2014"/>
    <n v="13.8"/>
    <n v="13"/>
    <n v="14"/>
    <n v="17"/>
    <n v="22"/>
    <n v="4"/>
    <n v="8"/>
    <n v="3767.5464229397749"/>
    <n v="15070.185691759099"/>
    <s v="ok"/>
    <d v="2015-10-18T00:00:00"/>
    <d v="2016-02-24T00:00:00"/>
    <d v="2017-03-03T00:00:00"/>
    <d v="2016-07-15T00:00:00"/>
    <d v="2016-08-31T00:00:00"/>
    <d v="2016-07-26T00:00:00"/>
    <d v="2016-07-26T00:00:00"/>
    <n v="2016"/>
    <m/>
    <s v="ok"/>
    <m/>
    <s v="ok"/>
    <s v="ok"/>
    <d v="2017-02-02T00:00:00"/>
    <s v="Envoi papier : 23/12/16 (pièces complémentaires envoyées entre le 30/01 et le 09/02)"/>
    <d v="2017-02-24T00:00:00"/>
    <d v="2016-09-08T00:00:00"/>
    <d v="2016-11-14T00:00:00"/>
    <m/>
    <m/>
    <m/>
    <s v="ok"/>
    <m/>
    <s v="1e partie envoyée à OFOI le 08/02/17_x000a_dernière partie envoyée à OFOI le 14/06/2017"/>
    <d v="2017-03-14T00:00:00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Men Ext : APOI_x000a_Lot Metallerie : CSMD par M Metallerie_x000a_Lot Elec : Filea Elec par Mon ti caze Eclaire_x000a_Soit 3 lots sur 14 = 21%_x000a_5 RO"/>
    <m/>
    <m/>
    <s v="oui"/>
    <n v="1547410"/>
    <n v="1717613.57"/>
    <n v="1715667.57"/>
    <n v="-1946"/>
    <n v="2418.6133557009134"/>
    <n v="190629.73"/>
    <n v="1337540"/>
    <n v="1322857"/>
    <n v="-14683"/>
    <n v="0.7950730966802968"/>
    <m/>
    <n v="424314"/>
    <x v="25"/>
    <n v="47378.777777777781"/>
    <n v="2095"/>
    <n v="868051"/>
    <x v="27"/>
    <n v="176535"/>
    <n v="687475"/>
    <n v="-4041"/>
    <n v="96001.111111111109"/>
    <m/>
    <n v="225000"/>
    <x v="24"/>
    <m/>
    <n v="0.13114428688536672"/>
    <m/>
    <x v="1"/>
    <n v="0"/>
    <n v="25000"/>
    <m/>
    <n v="0"/>
    <m/>
    <m/>
    <n v="270120.19565000001"/>
    <n v="180000"/>
    <n v="92378.777777777781"/>
    <n v="0"/>
    <n v="92378.777777777781"/>
    <n v="0.43368056129305371"/>
    <n v="68687.774999999994"/>
    <m/>
    <x v="19"/>
    <n v="1985787.76565"/>
    <n v="79167"/>
    <n v="39036"/>
    <m/>
    <m/>
    <m/>
    <m/>
    <m/>
    <m/>
    <d v="2012-02-02T00:00:00"/>
    <n v="16481"/>
    <d v="2012-12-11T00:00:00"/>
    <n v="10844"/>
    <n v="41508"/>
    <n v="11711"/>
    <m/>
    <m/>
    <m/>
    <m/>
    <m/>
    <m/>
    <m/>
    <m/>
    <m/>
    <m/>
    <m/>
    <m/>
    <m/>
    <m/>
    <m/>
    <m/>
    <n v="16481"/>
    <m/>
    <m/>
    <m/>
    <m/>
    <m/>
  </r>
  <r>
    <s v="Tamariniers LLS"/>
    <s v="St Leu"/>
    <s v="TCO"/>
    <x v="3"/>
    <s v="PRLC 0113"/>
    <s v="FBR"/>
    <s v="VAF"/>
    <s v="patrimoine"/>
    <m/>
    <s v="CX 671 / 1141"/>
    <s v="BJE récupère les pièces avec FBR_x000a_attente tableau des ventes de FBR_x000a_Rétrocession du chemin de l'amitié à faire_x000a_attente conformité des lots"/>
    <s v="EPFR"/>
    <s v="POPINEAU"/>
    <m/>
    <n v="18523"/>
    <n v="492000"/>
    <n v="699015"/>
    <n v="13297.297297297297"/>
    <n v="26.56157209955191"/>
    <n v="37.737677482049342"/>
    <n v="130.86933566983444"/>
    <n v="12482.410714285714"/>
    <n v="330.76785714285717"/>
    <m/>
    <n v="0.28836149651784265"/>
    <s v="Aub"/>
    <m/>
    <m/>
    <s v="LLS"/>
    <n v="37"/>
    <n v="37"/>
    <m/>
    <m/>
    <m/>
    <n v="3305.14"/>
    <n v="3681.47"/>
    <n v="99.499189189189181"/>
    <m/>
    <m/>
    <m/>
    <m/>
    <m/>
    <n v="3236"/>
    <m/>
    <n v="0"/>
    <n v="3.5"/>
    <s v="collectif"/>
    <s v="oui"/>
    <d v="2012-09-18T00:00:00"/>
    <d v="2012-02-24T00:00:00"/>
    <s v="OFOI"/>
    <s v="DOMBEYA 3"/>
    <m/>
    <d v="2013-08-07T00:00:00"/>
    <m/>
    <d v="2013-09-20T00:00:00"/>
    <d v="2013-09-26T00:00:00"/>
    <m/>
    <d v="2013-10-02T00:00:00"/>
    <d v="2013-10-29T00:00:00"/>
    <d v="2014-01-29T00:00:00"/>
    <m/>
    <d v="2014-01-20T00:00:00"/>
    <d v="2016-01-20T00:00:00"/>
    <d v="2017-01-20T00:00:00"/>
    <s v="oui"/>
    <m/>
    <d v="2014-01-13T00:00:00"/>
    <m/>
    <m/>
    <m/>
    <m/>
    <s v="MAREL"/>
    <d v="2013-12-27T00:00:00"/>
    <m/>
    <n v="13003860.789999999"/>
    <d v="2015-06-27T00:00:00"/>
    <m/>
    <d v="2015-06-04T00:00:00"/>
    <d v="2016-12-27T00:00:00"/>
    <n v="-0.9"/>
    <m/>
    <d v="2014-06-11T00:00:00"/>
    <n v="2014"/>
    <n v="10.266666666666667"/>
    <n v="24"/>
    <n v="25"/>
    <n v="28"/>
    <n v="29"/>
    <n v="4"/>
    <n v="4"/>
    <n v="23136.729423819084"/>
    <n v="92546.917695276337"/>
    <d v="2016-06-17T00:00:00"/>
    <d v="2016-06-11T00:00:00"/>
    <d v="2016-11-08T00:00:00"/>
    <d v="2016-12-31T00:00:00"/>
    <d v="2016-12-22T00:00:00"/>
    <d v="2017-01-09T00:00:00"/>
    <d v="2016-11-18T00:00:00"/>
    <d v="2016-11-30T00:00:00"/>
    <n v="2016"/>
    <d v="2016-10-27T00:00:00"/>
    <s v="réserves à lever"/>
    <m/>
    <s v="à notifier semaine du 20/02/17_x000a_MD faites à 5 entreprises"/>
    <s v="en cours"/>
    <s v="non conformités à lever"/>
    <s v="envoyé 02/06/17"/>
    <m/>
    <d v="2017-03-01T00:00:00"/>
    <m/>
    <m/>
    <m/>
    <m/>
    <d v="2017-03-01T00:00:00"/>
    <s v="élément transmis à OFOI 03/10/17"/>
    <s v="à déposer"/>
    <s v="ok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m/>
    <m/>
    <m/>
    <s v="oui"/>
    <n v="6447379"/>
    <n v="6447379"/>
    <n v="7137960"/>
    <n v="690581"/>
    <n v="2159.6543565476804"/>
    <n v="192917.83783783784"/>
    <n v="5795250"/>
    <n v="6458898"/>
    <n v="663648"/>
    <n v="0.91772955335803885"/>
    <m/>
    <n v="2155832"/>
    <x v="26"/>
    <n v="66317.16216216216"/>
    <n v="297903"/>
    <n v="4291546"/>
    <x v="28"/>
    <n v="641413"/>
    <n v="4042811"/>
    <n v="392678"/>
    <n v="126600.64864864865"/>
    <m/>
    <n v="1"/>
    <x v="9"/>
    <m/>
    <n v="1.4009604985177837E-7"/>
    <m/>
    <x v="1"/>
    <n v="0"/>
    <n v="2.7027027027027029E-2"/>
    <m/>
    <n v="0"/>
    <m/>
    <m/>
    <n v="2196102.662575"/>
    <n v="1303101.6922500001"/>
    <n v="101536.15384459461"/>
    <n v="0"/>
    <n v="101536.15384459461"/>
    <n v="0.41994795777936861"/>
    <n v="388102.52"/>
    <m/>
    <x v="2"/>
    <n v="9334062.662574999"/>
    <n v="657747"/>
    <n v="328481"/>
    <d v="2012-02-06T00:00:00"/>
    <n v="42492"/>
    <m/>
    <m/>
    <m/>
    <m/>
    <d v="2013-05-13T00:00:00"/>
    <n v="121749"/>
    <d v="2013-07-30T00:00:00"/>
    <n v="65696"/>
    <n v="41570"/>
    <n v="98544"/>
    <m/>
    <m/>
    <m/>
    <m/>
    <m/>
    <m/>
    <m/>
    <m/>
    <m/>
    <m/>
    <m/>
    <m/>
    <m/>
    <m/>
    <m/>
    <m/>
    <n v="121749"/>
    <m/>
    <m/>
    <m/>
    <m/>
    <m/>
  </r>
  <r>
    <s v="Barrage LLS"/>
    <s v="St Paul"/>
    <s v="TCO"/>
    <x v="3"/>
    <s v="PRLC 0140"/>
    <s v="FBR"/>
    <m/>
    <m/>
    <m/>
    <m/>
    <m/>
    <s v="SODEGIS"/>
    <m/>
    <m/>
    <n v="20161"/>
    <n v="1550000"/>
    <n v="1105335"/>
    <n v="14090.90909090909"/>
    <n v="76.88110708794207"/>
    <n v="54.825405485838999"/>
    <n v="392.66733926833251"/>
    <n v="10048.5"/>
    <n v="746.7037037037037"/>
    <m/>
    <n v="0.13962303457169783"/>
    <s v="AU5b"/>
    <n v="460"/>
    <m/>
    <s v="LLS"/>
    <n v="27"/>
    <n v="27"/>
    <m/>
    <m/>
    <m/>
    <n v="2870.27"/>
    <n v="2814.94"/>
    <n v="104.25703703703704"/>
    <n v="0"/>
    <n v="0"/>
    <n v="0"/>
    <n v="0.70370370370370372"/>
    <n v="0.29629629629629628"/>
    <n v="12480"/>
    <m/>
    <n v="0"/>
    <n v="3.5"/>
    <s v="collectif"/>
    <s v="oui"/>
    <d v="2012-09-18T00:00:00"/>
    <d v="2013-03-15T00:00:00"/>
    <s v="OFOI"/>
    <s v="SNC DORIQUE"/>
    <m/>
    <d v="2013-08-07T00:00:00"/>
    <m/>
    <d v="2014-04-18T00:00:00"/>
    <d v="2015-06-05T00:00:00"/>
    <m/>
    <d v="2015-06-08T00:00:00"/>
    <d v="2015-06-16T00:00:00"/>
    <d v="2015-09-16T00:00:00"/>
    <d v="2015-07-07T00:00:00"/>
    <d v="2015-09-08T00:00:00"/>
    <d v="2017-09-08T00:00:00"/>
    <d v="2018-09-08T00:00:00"/>
    <s v="oui"/>
    <s v="ok"/>
    <s v="Mairie 02/11/15"/>
    <s v="SO"/>
    <m/>
    <s v="SO"/>
    <s v="SO"/>
    <s v="MAREL"/>
    <d v="2015-12-22T00:00:00"/>
    <m/>
    <n v="18979814"/>
    <d v="2017-06-22T00:00:00"/>
    <d v="2017-12-22T00:00:00"/>
    <d v="2015-12-22T00:00:00"/>
    <d v="2017-12-12T00:00:00"/>
    <n v="-0.43333333333333335"/>
    <m/>
    <d v="2015-05-15T00:00:00"/>
    <n v="2015"/>
    <n v="21.533333333333335"/>
    <n v="24"/>
    <n v="25"/>
    <n v="29"/>
    <n v="30"/>
    <n v="5"/>
    <n v="5"/>
    <n v="17499.114140094502"/>
    <n v="87495.570700472512"/>
    <d v="2016-12-08T00:00:00"/>
    <d v="2017-05-15T00:00:00"/>
    <d v="2017-10-30T00:00:00"/>
    <d v="2017-12-22T00:00:00"/>
    <d v="2017-12-06T00:00:00"/>
    <m/>
    <d v="2017-11-27T00:00:00"/>
    <d v="2017-11-29T00:00:00"/>
    <n v="2017"/>
    <d v="2017-08-31T00:00:00"/>
    <m/>
    <m/>
    <m/>
    <m/>
    <m/>
    <m/>
    <m/>
    <m/>
    <m/>
    <m/>
    <m/>
    <m/>
    <m/>
    <m/>
    <m/>
    <s v="dde 13/12/17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m/>
    <m/>
    <m/>
    <s v="oui"/>
    <n v="5545807"/>
    <n v="5546805"/>
    <n v="5488129.9500000002"/>
    <n v="-58675.049999999814"/>
    <n v="1912.0605204388437"/>
    <n v="203264.07222222222"/>
    <n v="5057320"/>
    <n v="4965430"/>
    <n v="-91890"/>
    <n v="0.93090053102641968"/>
    <m/>
    <n v="1882322"/>
    <x v="27"/>
    <n v="70976.629629629635"/>
    <n v="34047"/>
    <n v="3664482"/>
    <x v="29"/>
    <n v="595108"/>
    <n v="2976651.95"/>
    <n v="-92722.049999999814"/>
    <n v="132287.40555555557"/>
    <m/>
    <n v="1"/>
    <x v="9"/>
    <m/>
    <n v="1.8221142886749611E-7"/>
    <m/>
    <x v="1"/>
    <n v="0"/>
    <n v="3.7037037037037035E-2"/>
    <m/>
    <n v="0"/>
    <m/>
    <m/>
    <n v="1015690.2065916295"/>
    <n v="540000"/>
    <n v="90976.666666666672"/>
    <n v="0"/>
    <n v="90976.666666666672"/>
    <n v="0.39970846321114534"/>
    <n v="358416.12820000004"/>
    <m/>
    <x v="2"/>
    <n v="6503820.1565916296"/>
    <n v="965006"/>
    <n v="482504"/>
    <d v="2012-06-30T00:00:00"/>
    <n v="96501"/>
    <m/>
    <m/>
    <d v="2013-05-07T00:00:00"/>
    <n v="48250"/>
    <d v="2012-12-19T00:00:00"/>
    <n v="96501"/>
    <d v="2013-07-30T00:00:00"/>
    <n v="96501"/>
    <n v="41570"/>
    <n v="144751"/>
    <m/>
    <m/>
    <m/>
    <m/>
    <m/>
    <m/>
    <m/>
    <m/>
    <m/>
    <m/>
    <m/>
    <m/>
    <m/>
    <m/>
    <m/>
    <m/>
    <n v="96501"/>
    <m/>
    <m/>
    <m/>
    <m/>
    <m/>
  </r>
  <r>
    <s v="Takamaka"/>
    <s v="St Philippe"/>
    <s v="CA SUD"/>
    <x v="3"/>
    <s v="PRLC 0093"/>
    <s v="FHO"/>
    <s v="VAF"/>
    <s v="patrimoine"/>
    <m/>
    <m/>
    <s v="lots à vendre : CA EPFR début 2017_x000a_LES : mise en demeure adressée à l'acquéreur faute de quoi classement du dossier"/>
    <s v="SODEGIS"/>
    <s v="Dubois"/>
    <s v="ok"/>
    <n v="4625"/>
    <n v="215000"/>
    <n v="104244"/>
    <n v="15357.142857142857"/>
    <n v="46.486486486486484"/>
    <n v="22.539243243243245"/>
    <n v="91.472596128534079"/>
    <n v="7446"/>
    <n v="330.35714285714283"/>
    <n v="1148.97"/>
    <n v="0.2464043243243243"/>
    <s v="UCa"/>
    <n v="20"/>
    <m/>
    <s v="LLTS"/>
    <n v="14"/>
    <m/>
    <n v="14"/>
    <m/>
    <m/>
    <n v="1044.56"/>
    <n v="1139.6199999999999"/>
    <n v="81.401428571428568"/>
    <m/>
    <m/>
    <m/>
    <m/>
    <m/>
    <m/>
    <n v="551.16"/>
    <n v="0.11916972972972972"/>
    <n v="1.5"/>
    <s v="MDV"/>
    <s v="non"/>
    <d v="2012-11-20T00:00:00"/>
    <d v="2012-02-24T00:00:00"/>
    <s v="OFOI"/>
    <s v="LOGIS 4"/>
    <m/>
    <d v="2013-08-29T00:00:00"/>
    <m/>
    <d v="2013-09-18T00:00:00"/>
    <d v="2013-09-27T00:00:00"/>
    <m/>
    <d v="2013-10-02T00:00:00"/>
    <d v="2013-10-28T00:00:00"/>
    <d v="2014-01-28T00:00:00"/>
    <m/>
    <d v="2014-01-20T00:00:00"/>
    <d v="2016-01-20T00:00:00"/>
    <d v="2017-01-20T00:00:00"/>
    <s v="non"/>
    <m/>
    <s v="CR + CASUD = 19/12/13_x000a_CG = 15/01/14_x000a_CM = OK - mank attest° affichage_x000a_"/>
    <m/>
    <m/>
    <m/>
    <m/>
    <s v="BARET/GILLOT"/>
    <d v="2013-12-17T00:00:00"/>
    <m/>
    <n v="2345333.9"/>
    <d v="2015-06-17T00:00:00"/>
    <d v="2015-12-17T00:00:00"/>
    <d v="2014-12-04T00:00:00"/>
    <d v="2015-09-15T00:00:00"/>
    <n v="1.7"/>
    <m/>
    <d v="2014-07-28T00:00:00"/>
    <n v="2014"/>
    <n v="11.1"/>
    <n v="14"/>
    <n v="15"/>
    <n v="14"/>
    <n v="15"/>
    <n v="0"/>
    <n v="0"/>
    <n v="6119.4046697304175"/>
    <n v="0"/>
    <s v="ok"/>
    <d v="2015-09-28T00:00:00"/>
    <d v="2015-09-29T00:00:00"/>
    <m/>
    <d v="2015-11-25T00:00:00"/>
    <d v="2016-06-09T00:00:00"/>
    <e v="#REF!"/>
    <d v="2015-11-05T00:00:00"/>
    <n v="2015"/>
    <m/>
    <d v="2016-12-21T00:00:00"/>
    <m/>
    <s v="ok"/>
    <s v="ok"/>
    <d v="2016-07-04T00:00:00"/>
    <d v="2017-05-15T00:00:00"/>
    <d v="2016-10-17T00:00:00"/>
    <d v="2015-11-16T00:00:00"/>
    <d v="2016-02-02T00:00:00"/>
    <m/>
    <m/>
    <m/>
    <s v="05/10/2016_x000a_28/02/17"/>
    <m/>
    <s v="dossier transmis à OFOI 05/09/16"/>
    <s v="ok"/>
    <m/>
    <s v="ok"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Cloison : PRE par DROZ_x000a_ soit 1 sur 15"/>
    <m/>
    <m/>
    <s v="oui"/>
    <n v="2360150.41"/>
    <n v="2396286"/>
    <n v="2426621"/>
    <n v="30335"/>
    <n v="2323.1035076970211"/>
    <n v="173330.07142857142"/>
    <n v="2112298"/>
    <n v="2153147"/>
    <n v="40849"/>
    <n v="0.89999952342917333"/>
    <m/>
    <n v="601367"/>
    <x v="28"/>
    <n v="45897.5"/>
    <n v="41198"/>
    <n v="1294919"/>
    <x v="30"/>
    <n v="284216"/>
    <n v="975980"/>
    <n v="-34723"/>
    <n v="90014"/>
    <m/>
    <n v="500000"/>
    <x v="25"/>
    <m/>
    <n v="0.20604783359247283"/>
    <m/>
    <x v="1"/>
    <n v="0"/>
    <n v="35714.285714285717"/>
    <m/>
    <n v="0"/>
    <m/>
    <m/>
    <n v="461213.14905750001"/>
    <n v="238500"/>
    <n v="98647.5"/>
    <n v="0"/>
    <n v="98647.5"/>
    <n v="0.49653574328412386"/>
    <n v="106433.17505000001"/>
    <m/>
    <x v="20"/>
    <n v="2887834.1490575001"/>
    <n v="118584"/>
    <n v="58369"/>
    <d v="2009-12-14T00:00:00"/>
    <n v="7820"/>
    <m/>
    <m/>
    <d v="2012-12-24T00:00:00"/>
    <n v="3939"/>
    <d v="2013-02-08T00:00:00"/>
    <n v="17030"/>
    <d v="1932-06-11T00:00:00"/>
    <n v="11851"/>
    <n v="41547"/>
    <n v="17729"/>
    <m/>
    <m/>
    <m/>
    <m/>
    <m/>
    <m/>
    <m/>
    <m/>
    <m/>
    <m/>
    <m/>
    <m/>
    <m/>
    <m/>
    <m/>
    <m/>
    <n v="17030"/>
    <m/>
    <m/>
    <m/>
    <m/>
    <m/>
  </r>
  <r>
    <s v="FANFAN"/>
    <s v="Trois Bassins"/>
    <s v="TCO"/>
    <x v="3"/>
    <s v="PRLC 0149"/>
    <s v="FVA"/>
    <s v="DBE"/>
    <s v="clôture défisc"/>
    <m/>
    <m/>
    <s v=" servitude EP OK / échange de lot à faire_x000a_DA  en cours pour les lots_x000a_manque les pièces PA_x000a_rétrocession des 3 rues à faire mais appartiennent à INGEPAR / DA à faire par BJE_x000a_1 des lots est occupé"/>
    <s v="EPFR"/>
    <s v="Dubois"/>
    <d v="2013-12-11T00:00:00"/>
    <n v="15520"/>
    <n v="130195"/>
    <n v="184575"/>
    <n v="5424.791666666667"/>
    <n v="8.3888530927835046"/>
    <n v="11.892719072164949"/>
    <n v="100.20684712857096"/>
    <n v="7690.625"/>
    <n v="646.66666666666663"/>
    <m/>
    <n v="0.11868170103092784"/>
    <s v="NAU"/>
    <n v="790"/>
    <m/>
    <s v="LLTS"/>
    <n v="24"/>
    <m/>
    <n v="24"/>
    <m/>
    <m/>
    <n v="1833.06"/>
    <n v="1841.94"/>
    <n v="76.747500000000002"/>
    <m/>
    <m/>
    <m/>
    <m/>
    <m/>
    <m/>
    <n v="700"/>
    <n v="4.5103092783505154E-2"/>
    <n v="1.5"/>
    <s v="MDV"/>
    <s v="non"/>
    <m/>
    <d v="2013-03-13T00:00:00"/>
    <s v="INGEPAR"/>
    <s v="LS 76"/>
    <n v="120000"/>
    <d v="2013-09-19T00:00:00"/>
    <m/>
    <d v="2013-10-17T00:00:00"/>
    <d v="2013-10-21T00:00:00"/>
    <m/>
    <d v="2013-10-03T00:00:00"/>
    <d v="2013-11-05T00:00:00"/>
    <d v="2014-02-05T00:00:00"/>
    <m/>
    <d v="2014-01-20T00:00:00"/>
    <d v="2016-01-20T00:00:00"/>
    <d v="2017-01-20T00:00:00"/>
    <s v="oui"/>
    <m/>
    <d v="2014-01-20T00:00:00"/>
    <m/>
    <m/>
    <m/>
    <m/>
    <s v="BARET/GILLOT"/>
    <d v="2013-12-18T00:00:00"/>
    <m/>
    <n v="3417194.08"/>
    <d v="2015-06-18T00:00:00"/>
    <m/>
    <d v="2015-04-20T00:00:00"/>
    <d v="2015-10-15T00:00:00"/>
    <n v="16.066666666666666"/>
    <m/>
    <d v="2014-08-25T00:00:00"/>
    <n v="2014"/>
    <n v="11.333333333333334"/>
    <n v="14"/>
    <n v="15"/>
    <n v="27"/>
    <n v="29"/>
    <n v="13"/>
    <n v="14"/>
    <n v="9655.5641448000006"/>
    <n v="125522.33388240001"/>
    <s v="ok"/>
    <d v="2015-10-25T00:00:00"/>
    <d v="2016-11-30T00:00:00"/>
    <d v="2017-04-20T00:00:00"/>
    <d v="2017-02-08T00:00:00"/>
    <s v="ok"/>
    <s v="ok"/>
    <d v="2017-02-08T00:00:00"/>
    <n v="2017"/>
    <m/>
    <s v="réserves à lever"/>
    <s v="ok"/>
    <s v="attente notification de la réception"/>
    <s v="manque 4 entreprises"/>
    <m/>
    <s v="ok"/>
    <d v="2017-11-30T00:00:00"/>
    <s v="ok"/>
    <d v="2017-06-21T00:00:00"/>
    <m/>
    <m/>
    <m/>
    <m/>
    <m/>
    <s v="à déposer"/>
    <d v="2017-09-25T00:00:00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VRD_x000a_Lot Men Ext_x000a_Soit 2 lots sur 15 soit 13%_x000a_3 RO"/>
    <m/>
    <m/>
    <s v="oui"/>
    <n v="3574384"/>
    <n v="3902190"/>
    <n v="3927084"/>
    <n v="24894"/>
    <n v="2142.365225360872"/>
    <n v="163628.5"/>
    <n v="3273574"/>
    <n v="3268014"/>
    <n v="-5560"/>
    <n v="0.85652391451979515"/>
    <m/>
    <n v="1046714"/>
    <x v="29"/>
    <n v="43444.708333333336"/>
    <n v="-4041"/>
    <n v="2047671"/>
    <x v="31"/>
    <n v="255345"/>
    <n v="1796367"/>
    <n v="4041"/>
    <n v="85488"/>
    <m/>
    <n v="480000"/>
    <x v="26"/>
    <n v="144894"/>
    <n v="9.1671071970958598E-2"/>
    <m/>
    <x v="1"/>
    <n v="-120000"/>
    <n v="15000"/>
    <m/>
    <n v="-5000"/>
    <m/>
    <m/>
    <n v="1244630.4489499999"/>
    <n v="480000"/>
    <n v="78444.708333333328"/>
    <n v="0"/>
    <n v="78444.708333333328"/>
    <n v="0.37779921684285633"/>
    <n v="188451.07500000001"/>
    <m/>
    <x v="21"/>
    <n v="5171714.4489500001"/>
    <n v="172483"/>
    <n v="86240"/>
    <d v="2012-12-03T00:00:00"/>
    <n v="16144"/>
    <m/>
    <m/>
    <d v="2013-01-17T00:00:00"/>
    <m/>
    <d v="2013-01-01T00:00:00"/>
    <n v="24216"/>
    <d v="2013-07-29T00:00:00"/>
    <n v="20008"/>
    <n v="41583"/>
    <n v="25872"/>
    <m/>
    <m/>
    <m/>
    <m/>
    <m/>
    <m/>
    <m/>
    <m/>
    <m/>
    <m/>
    <m/>
    <m/>
    <m/>
    <m/>
    <m/>
    <m/>
    <n v="24216"/>
    <m/>
    <m/>
    <m/>
    <m/>
    <m/>
  </r>
  <r>
    <s v="Josepha Fontaine"/>
    <s v="St Joseph"/>
    <s v="CA SUD"/>
    <x v="3"/>
    <s v="PRLC 0122"/>
    <s v="FHO"/>
    <s v="GGO"/>
    <s v="patrimoine"/>
    <m/>
    <m/>
    <m/>
    <s v="EPFR / RUET"/>
    <s v="BARET"/>
    <m/>
    <n v="4550"/>
    <n v="298500"/>
    <n v="122015"/>
    <n v="19900"/>
    <n v="65.604395604395606"/>
    <n v="26.816483516483515"/>
    <n v="103.92126802429075"/>
    <n v="8134.333333333333"/>
    <n v="303.33333333333331"/>
    <m/>
    <n v="0.25804615384615381"/>
    <s v="UD"/>
    <n v="600"/>
    <m/>
    <s v="LLTS"/>
    <n v="15"/>
    <m/>
    <n v="15"/>
    <m/>
    <m/>
    <n v="1160.5899999999999"/>
    <n v="1174.1099999999999"/>
    <n v="78.273999999999987"/>
    <m/>
    <m/>
    <m/>
    <m/>
    <m/>
    <m/>
    <m/>
    <n v="0"/>
    <n v="1.5"/>
    <s v="MDV"/>
    <m/>
    <m/>
    <d v="2012-02-24T00:00:00"/>
    <s v="OFOI"/>
    <s v="LOGIS 5"/>
    <m/>
    <d v="2013-11-18T00:00:00"/>
    <m/>
    <s v="05/03/2014_x000a_07/10/14"/>
    <s v="20/03/2014 &amp; 06/11/14_x000a_13/10/15"/>
    <d v="2015-10-14T00:00:00"/>
    <d v="2013-10-03T00:00:00"/>
    <s v="ok"/>
    <d v="2014-01-03T00:00:00"/>
    <s v="ok"/>
    <d v="2014-06-28T00:00:00"/>
    <d v="2016-06-28T00:00:00"/>
    <d v="2017-06-28T00:00:00"/>
    <s v="oui"/>
    <m/>
    <s v="CASUD = 02/07/14_x000a_CG : OK_x000a_Région : OK_x000a_Mairie : OK"/>
    <m/>
    <m/>
    <m/>
    <m/>
    <s v="LE GOFF"/>
    <d v="2015-12-02T00:00:00"/>
    <m/>
    <n v="2671324.61"/>
    <d v="2017-06-02T00:00:00"/>
    <m/>
    <d v="2016-06-14T00:00:00"/>
    <d v="2017-12-02T00:00:00"/>
    <n v="-8.5666666666666664"/>
    <m/>
    <d v="2015-12-03T00:00:00"/>
    <n v="2015"/>
    <n v="24.833333333333332"/>
    <n v="13"/>
    <n v="13"/>
    <n v="15"/>
    <n v="15"/>
    <n v="2"/>
    <n v="2"/>
    <n v="4738.044454527967"/>
    <n v="9476.088909055934"/>
    <s v="20/10/2016 y/c certif adressage + plans"/>
    <d v="2017-01-03T00:00:00"/>
    <d v="2017-03-20T00:00:00"/>
    <d v="2018-06-14T00:00:00"/>
    <d v="2017-05-10T00:00:00"/>
    <d v="2017-05-10T00:00:00"/>
    <d v="2017-03-10T00:00:00"/>
    <d v="2017-03-20T00:00:00"/>
    <n v="2017"/>
    <s v="ok"/>
    <s v="ok"/>
    <s v="ok"/>
    <m/>
    <m/>
    <m/>
    <m/>
    <m/>
    <d v="2017-08-30T00:00:00"/>
    <m/>
    <m/>
    <d v="2018-01-25T00:00:00"/>
    <m/>
    <d v="2017-09-20T00:00:00"/>
    <m/>
    <s v="à déposer"/>
    <s v="ok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4 Menuiserie - PVC 400 par Sofaal_x000a_Lot Metallerie : Technipose par Pumalu_x000a_soit 2 lots sur 16 = 12%_x000a_3 RO"/>
    <m/>
    <m/>
    <m/>
    <n v="2369120"/>
    <n v="2776975.73"/>
    <n v="2951881.73"/>
    <n v="174906"/>
    <n v="2543.4319871789348"/>
    <n v="196792.11533333332"/>
    <n v="2132208"/>
    <n v="2403709.4727445007"/>
    <n v="271501.47274450073"/>
    <n v="0.7839407253299977"/>
    <m/>
    <n v="646677"/>
    <x v="30"/>
    <n v="55731.133333333331"/>
    <n v="189290"/>
    <n v="1328613"/>
    <x v="32"/>
    <n v="212380"/>
    <n v="1101849"/>
    <n v="-14384"/>
    <n v="87615.266666666663"/>
    <m/>
    <n v="393831"/>
    <x v="27"/>
    <m/>
    <n v="0.13341693063021193"/>
    <m/>
    <x v="1"/>
    <n v="0"/>
    <n v="26255.4"/>
    <m/>
    <n v="0"/>
    <m/>
    <m/>
    <n v="753806.75427749997"/>
    <n v="300000"/>
    <n v="101986.53333333334"/>
    <n v="162750"/>
    <n v="112836.53333333334"/>
    <n v="0.47263203266107667"/>
    <n v="124577"/>
    <m/>
    <x v="22"/>
    <n v="3705688.4842774998"/>
    <n v="142778"/>
    <n v="57156"/>
    <d v="2011-09-28T00:00:00"/>
    <n v="10799"/>
    <m/>
    <m/>
    <m/>
    <m/>
    <m/>
    <m/>
    <d v="2012-05-21T00:00:00"/>
    <n v="29206"/>
    <n v="41627"/>
    <n v="17151"/>
    <m/>
    <m/>
    <m/>
    <m/>
    <m/>
    <m/>
    <m/>
    <m/>
    <m/>
    <m/>
    <m/>
    <m/>
    <m/>
    <m/>
    <m/>
    <m/>
    <m/>
    <m/>
    <m/>
    <m/>
    <m/>
    <m/>
  </r>
  <r>
    <s v="Z'ambaville (AX 18)"/>
    <s v="Etang-Salé"/>
    <s v="CIVIS"/>
    <x v="4"/>
    <s v="PRLC 0153"/>
    <s v="FVA"/>
    <s v="DBE"/>
    <s v="Tvx"/>
    <s v="oui"/>
    <m/>
    <m/>
    <s v="SODEGIS"/>
    <s v="QUINOT"/>
    <d v="2013-05-13T00:00:00"/>
    <n v="1492"/>
    <n v="325000"/>
    <n v="85500"/>
    <n v="36111.111111111109"/>
    <n v="217.82841823056302"/>
    <n v="57.305630026809652"/>
    <n v="103.33949744370717"/>
    <n v="9500"/>
    <n v="165.77777777777777"/>
    <m/>
    <n v="0.55453753351206436"/>
    <s v="UA"/>
    <n v="30"/>
    <m/>
    <s v="LLS"/>
    <n v="9"/>
    <n v="9"/>
    <m/>
    <m/>
    <m/>
    <n v="858.51"/>
    <n v="827.37"/>
    <n v="91.93"/>
    <n v="0"/>
    <n v="0"/>
    <n v="0"/>
    <n v="0.88888888888888884"/>
    <n v="0.1111111111111111"/>
    <m/>
    <n v="0"/>
    <n v="0"/>
    <n v="2"/>
    <s v="MDV"/>
    <s v="non"/>
    <d v="2013-11-13T00:00:00"/>
    <d v="2014-05-14T00:00:00"/>
    <s v="INTERINVEST"/>
    <s v="PC 97 "/>
    <m/>
    <d v="2014-06-10T00:00:00"/>
    <m/>
    <d v="2014-06-30T00:00:00"/>
    <d v="2014-11-20T00:00:00"/>
    <m/>
    <d v="2015-02-19T00:00:00"/>
    <d v="2015-02-24T00:00:00"/>
    <d v="2015-05-23T00:00:00"/>
    <d v="2015-03-11T00:00:00"/>
    <d v="2015-05-22T00:00:00"/>
    <d v="2017-05-22T00:00:00"/>
    <d v="2018-05-22T00:00:00"/>
    <s v="oui"/>
    <s v="ok"/>
    <s v="CIVIS 25/05/15_x000a_Région 12/06/15_x000a_Commune 29/06/15_x000a_CG 30/06/15"/>
    <s v="conv° réserv° 17/09/15_x000a_G 09/11/15"/>
    <m/>
    <m/>
    <m/>
    <s v="MAREL"/>
    <d v="2016-04-18T00:00:00"/>
    <d v="2016-06-27T00:00:00"/>
    <n v="1734390.06"/>
    <d v="2016-06-01T00:00:00"/>
    <d v="2018-04-18T00:00:00"/>
    <d v="2016-09-01T00:00:00"/>
    <d v="2018-01-31T00:00:00"/>
    <n v="2.9666666666666668"/>
    <m/>
    <d v="2016-05-10T00:00:00"/>
    <n v="2016"/>
    <n v="23.333333333333332"/>
    <n v="13"/>
    <n v="14"/>
    <n v="22"/>
    <n v="23"/>
    <n v="9"/>
    <n v="9"/>
    <n v="5363.8647850361422"/>
    <n v="48274.783065325282"/>
    <s v="ok"/>
    <d v="2017-06-10T00:00:00"/>
    <d v="2018-03-12T00:00:00"/>
    <d v="2018-09-01T00:00:00"/>
    <m/>
    <m/>
    <d v="2018-04-15T00:00:00"/>
    <d v="2018-04-30T00:00:00"/>
    <m/>
    <m/>
    <m/>
    <m/>
    <m/>
    <m/>
    <m/>
    <m/>
    <m/>
    <m/>
    <m/>
    <m/>
    <m/>
    <m/>
    <m/>
    <m/>
    <m/>
    <m/>
    <m/>
    <m/>
    <m/>
    <d v="2013-10-01T00:00:00"/>
    <d v="2013-10-02T00:00:00"/>
    <d v="2013-10-08T00:00:00"/>
    <n v="6"/>
    <d v="2014-02-06T00:00:00"/>
    <d v="2014-02-06T00:00:00"/>
    <n v="0"/>
    <d v="2014-02-14T00:00:00"/>
    <d v="2014-02-18T00:00:00"/>
    <n v="4"/>
    <d v="2014-05-14T00:00:00"/>
    <d v="2014-06-11T00:00:00"/>
    <n v="28"/>
    <d v="2014-11-03T00:00:00"/>
    <d v="2014-11-03T00:00:00"/>
    <n v="0"/>
    <d v="2015-05-22T00:00:00"/>
    <d v="2015-06-03T00:00:00"/>
    <d v="2016-05-10T00:00:00"/>
    <n v="342"/>
    <d v="2015-03-20T00:00:00"/>
    <d v="2016-05-10T00:00:00"/>
    <n v="417"/>
    <d v="2016-07-01T00:00:00"/>
    <d v="2017-06-20T00:00:00"/>
    <n v="354"/>
    <d v="2016-09-02T00:00:00"/>
    <d v="2016-08-22T00:00:00"/>
    <n v="-11"/>
    <d v="2016-12-01T00:00:00"/>
    <d v="2017-06-20T00:00:00"/>
    <n v="201"/>
    <d v="2017-02-09T00:00:00"/>
    <d v="2017-10-27T00:00:00"/>
    <n v="260"/>
    <d v="2017-03-07T00:00:00"/>
    <d v="2017-09-01T00:00:00"/>
    <n v="178"/>
    <d v="2017-03-24T00:00:00"/>
    <d v="2017-10-09T00:00:00"/>
    <n v="199"/>
    <d v="2017-05-24T00:00:00"/>
    <d v="2018-02-18T00:00:00"/>
    <n v="270"/>
    <d v="2017-11-20T00:00:00"/>
    <s v="-"/>
    <d v="2017-11-30T00:00:00"/>
    <d v="2017-06-05T00:00:00"/>
    <d v="2018-03-12T00:00:00"/>
    <n v="13.033333333333333"/>
    <d v="2017-07-05T00:00:00"/>
    <d v="2018-04-30T00:00:00"/>
    <n v="0"/>
    <n v="55516"/>
    <m/>
    <m/>
    <n v="26.566666666666666"/>
    <n v="9.9666666666666668"/>
    <s v="SFE / AGA / FVA"/>
    <s v="Lot GO : CH2D par DNA construction (2 mois de reconsult et négo)_x000a_Soit 1 sur 14 lots_x000a_3 RO"/>
    <s v="bâche à poser pour sécurité incendie, avant inauguration"/>
    <s v="problématique juridique INTERINVEST qui a mis beaucoup de temps à se solutionner_x000a_retard SBIM / AMEDEE_x000a_convention MOD EDF très tardive_x000a_"/>
    <m/>
    <m/>
    <n v="1626116.0295668198"/>
    <n v="1895849.0295668198"/>
    <n v="269733"/>
    <n v="2208.3016267333169"/>
    <n v="210649.89217409107"/>
    <n v="1344547"/>
    <n v="1545657.7250008537"/>
    <n v="201110.72500085365"/>
    <n v="0.83240622676925557"/>
    <m/>
    <n v="478312"/>
    <x v="31"/>
    <n v="68247.222222222219"/>
    <n v="135913"/>
    <n v="980627"/>
    <x v="33"/>
    <n v="270994"/>
    <n v="928952"/>
    <n v="219319"/>
    <n v="133327.33333333334"/>
    <n v="0"/>
    <n v="85500"/>
    <x v="9"/>
    <n v="0"/>
    <n v="5.2746816038853512E-7"/>
    <m/>
    <x v="1"/>
    <n v="-85499"/>
    <n v="0.1111111111111111"/>
    <m/>
    <n v="-5699.9333333333334"/>
    <n v="5.7"/>
    <n v="5.59"/>
    <n v="0"/>
    <n v="0"/>
    <e v="#REF!"/>
    <m/>
    <e v="#REF!"/>
    <n v="0.32398465828280837"/>
    <m/>
    <m/>
    <x v="23"/>
    <n v="1895849.0295668198"/>
    <n v="91876"/>
    <e v="#VALUE!"/>
    <d v="2013-02-19T00:00:00"/>
    <n v="7458"/>
    <m/>
    <m/>
    <d v="2014-02-11T00:00:00"/>
    <n v="5456"/>
    <m/>
    <m/>
    <n v="41773"/>
    <n v="17627"/>
    <d v="2014-11-03T00:00:00"/>
    <n v="13089"/>
    <m/>
    <m/>
    <s v="ok"/>
    <m/>
    <s v="ok"/>
    <m/>
    <d v="2016-08-12T00:00:00"/>
    <n v="17699"/>
    <d v="2016-12-08T00:00:00"/>
    <n v="5451"/>
    <d v="2017-09-07T00:00:00"/>
    <s v="-"/>
    <d v="2017-09-07T00:00:00"/>
    <m/>
    <d v="2017-09-07T00:00:00"/>
    <n v="15909"/>
    <m/>
    <m/>
    <m/>
    <m/>
    <m/>
    <m/>
  </r>
  <r>
    <s v="VEFA LOULOU PITOU (LA SAFRANIERE)"/>
    <s v="Tampon"/>
    <s v="CA SUD"/>
    <x v="4"/>
    <s v="PRLC 0161"/>
    <s v="ADE"/>
    <s v="RTA"/>
    <s v="patrimoine"/>
    <m/>
    <m/>
    <m/>
    <m/>
    <m/>
    <m/>
    <n v="2671"/>
    <n v="637295"/>
    <n v="637295"/>
    <n v="13559.468085106382"/>
    <n v="238.5979034069637"/>
    <n v="238.5979034069637"/>
    <n v="167.06075103217773"/>
    <n v="13559.468085106382"/>
    <n v="56.829787234042556"/>
    <m/>
    <n v="1.428210408086859"/>
    <s v="UB"/>
    <n v="512"/>
    <m/>
    <s v="LLTS"/>
    <n v="47"/>
    <m/>
    <n v="47"/>
    <m/>
    <m/>
    <n v="4397.1499999999996"/>
    <n v="3814.75"/>
    <n v="81.164893617021278"/>
    <m/>
    <m/>
    <m/>
    <m/>
    <m/>
    <m/>
    <n v="0"/>
    <n v="0"/>
    <n v="4.5"/>
    <s v="collectif"/>
    <s v="oui"/>
    <d v="2013-11-13T00:00:00"/>
    <d v="2014-05-12T00:00:00"/>
    <s v="INGEPAR"/>
    <s v="LS 101"/>
    <s v="SO"/>
    <d v="2014-06-10T00:00:00"/>
    <m/>
    <d v="2014-10-23T00:00:00"/>
    <d v="2014-11-14T00:00:00"/>
    <m/>
    <d v="2014-12-16T00:00:00"/>
    <d v="2014-12-17T00:00:00"/>
    <m/>
    <s v="ok"/>
    <d v="2015-03-17T00:00:00"/>
    <d v="2017-03-17T00:00:00"/>
    <d v="2018-03-17T00:00:00"/>
    <s v="non"/>
    <s v="22/10/2014_x000a_cr 24/11/14 - modif à faire"/>
    <s v="Ville 18/03/15_x000a_Région 17/06/15_x000a_CG 30/06/15_x000a_CASUD 29/09/15"/>
    <s v="conv° réserv° 17/09/15_x000a_G 09/11/15"/>
    <m/>
    <d v="2015-09-29T00:00:00"/>
    <m/>
    <s v="BARET/GILLOT"/>
    <d v="2014-12-19T00:00:00"/>
    <m/>
    <n v="7100881.4887365336"/>
    <d v="2016-06-19T00:00:00"/>
    <m/>
    <d v="2015-05-19T00:00:00"/>
    <d v="2016-10-19T00:00:00"/>
    <n v="0.66666666666666663"/>
    <m/>
    <d v="2015-02-02T00:00:00"/>
    <n v="2015"/>
    <n v="7.9"/>
    <n v="18"/>
    <n v="19"/>
    <n v="19"/>
    <n v="21"/>
    <n v="1"/>
    <n v="2"/>
    <n v="20446.745282444248"/>
    <n v="61340.235847332748"/>
    <d v="2016-08-09T00:00:00"/>
    <d v="2016-08-02T00:00:00"/>
    <d v="2016-09-02T00:00:00"/>
    <d v="2017-05-19T00:00:00"/>
    <d v="2016-10-14T00:00:00"/>
    <s v="envoi élements à Lydie 18/11/16"/>
    <m/>
    <d v="2016-11-08T00:00:00"/>
    <n v="2016"/>
    <s v="ok"/>
    <m/>
    <m/>
    <m/>
    <s v="sauf Peinture"/>
    <s v="ok"/>
    <m/>
    <m/>
    <d v="2016-12-06T00:00:00"/>
    <d v="2017-02-13T00:00:00"/>
    <m/>
    <m/>
    <s v="SO"/>
    <s v="ok"/>
    <m/>
    <s v="déposé DRFIP 16/06/17"/>
    <d v="2017-03-14T00:00:00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m/>
    <m/>
    <m/>
    <m/>
    <m/>
    <n v="9070838.1099999994"/>
    <n v="7847372.4299999997"/>
    <n v="-1223465.6799999997"/>
    <n v="1784.649700374106"/>
    <n v="166965.37085106381"/>
    <n v="7995841"/>
    <n v="6785519"/>
    <n v="-1210322"/>
    <n v="0.8828451766242984"/>
    <m/>
    <n v="2612892.11"/>
    <x v="32"/>
    <n v="47546.829787234041"/>
    <n v="-378191.10999999987"/>
    <n v="5339946"/>
    <x v="34"/>
    <n v="1362272"/>
    <n v="3178635.43"/>
    <n v="-799038.5700000003"/>
    <n v="96615.051702127646"/>
    <n v="0"/>
    <n v="1118000"/>
    <x v="28"/>
    <n v="0"/>
    <n v="0.14246806940447454"/>
    <m/>
    <x v="1"/>
    <n v="0"/>
    <n v="23787.234042553191"/>
    <n v="71334.063829787236"/>
    <n v="0"/>
    <n v="5.07"/>
    <n v="4.96"/>
    <n v="0"/>
    <n v="0"/>
    <n v="71334.063829787236"/>
    <n v="0"/>
    <n v="71334.063829787236"/>
    <n v="0.42723867509879354"/>
    <n v="0"/>
    <m/>
    <x v="2"/>
    <n v="7847372.4299999997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Petunias"/>
    <s v="Tampon"/>
    <s v="CA SUD"/>
    <x v="4"/>
    <s v="PRLC 0165"/>
    <s v="YFR"/>
    <s v="GGO"/>
    <s v="Tvx"/>
    <m/>
    <m/>
    <m/>
    <m/>
    <m/>
    <m/>
    <n v="3512"/>
    <n v="977347"/>
    <n v="977347"/>
    <n v="19546.939999999999"/>
    <n v="278.28787015945329"/>
    <n v="278.28787015945329"/>
    <n v="217.55371245915362"/>
    <n v="19546.939999999999"/>
    <n v="70.239999999999995"/>
    <m/>
    <n v="1.2791685649202733"/>
    <s v="UA"/>
    <m/>
    <m/>
    <s v="LLTS"/>
    <n v="50"/>
    <m/>
    <n v="50"/>
    <m/>
    <m/>
    <n v="4457.88"/>
    <n v="4492.4399999999996"/>
    <n v="89.848799999999997"/>
    <m/>
    <m/>
    <m/>
    <m/>
    <m/>
    <m/>
    <n v="0"/>
    <n v="0"/>
    <n v="4"/>
    <s v="collectif"/>
    <s v="oui"/>
    <d v="2013-11-13T00:00:00"/>
    <m/>
    <s v="INGEPAR"/>
    <s v="LS 79"/>
    <s v="SO"/>
    <d v="2014-07-28T00:00:00"/>
    <m/>
    <d v="2014-11-19T00:00:00"/>
    <d v="2015-07-10T00:00:00"/>
    <m/>
    <d v="2015-08-12T00:00:00"/>
    <d v="2015-09-03T00:00:00"/>
    <d v="2015-11-20T00:00:00"/>
    <d v="2015-09-17T00:00:00"/>
    <d v="2015-11-17T00:00:00"/>
    <d v="2017-11-17T00:00:00"/>
    <d v="2018-11-17T00:00:00"/>
    <s v="oui"/>
    <s v="ok"/>
    <s v="16/12/15 Région_x000a_20/01/16 CG_x000a_25/01/16 Mairie_x000a_10/02/16 CASUD"/>
    <m/>
    <d v="2016-02-01T00:00:00"/>
    <d v="2016-02-10T00:00:00"/>
    <d v="2015-12-22T00:00:00"/>
    <s v="LE GOFF"/>
    <d v="2015-11-25T00:00:00"/>
    <s v="doc jur 30/11/15"/>
    <n v="8009024.4900000002"/>
    <d v="2017-05-25T00:00:00"/>
    <d v="2017-11-25T00:00:00"/>
    <d v="2016-09-23T00:00:00"/>
    <d v="2018-02-26T00:00:00"/>
    <n v="1.6"/>
    <m/>
    <d v="2015-12-10T00:00:00"/>
    <n v="2015"/>
    <n v="16.666666666666668"/>
    <n v="24"/>
    <n v="25"/>
    <n v="27"/>
    <n v="28"/>
    <n v="3"/>
    <n v="3"/>
    <n v="23301.842806234083"/>
    <n v="69905.528418702248"/>
    <d v="2017-10-09T00:00:00"/>
    <d v="2017-12-10T00:00:00"/>
    <d v="2018-03-30T00:00:00"/>
    <d v="2018-09-23T00:00:00"/>
    <m/>
    <m/>
    <d v="2018-03-30T00:00:00"/>
    <d v="2018-04-15T00:00:00"/>
    <m/>
    <s v="sem 12/02 : T5"/>
    <m/>
    <m/>
    <m/>
    <m/>
    <m/>
    <m/>
    <m/>
    <m/>
    <m/>
    <m/>
    <m/>
    <m/>
    <m/>
    <m/>
    <m/>
    <m/>
    <m/>
    <m/>
    <m/>
    <m/>
    <m/>
    <m/>
    <s v="0"/>
    <d v="2014-02-06T00:00:00"/>
    <d v="2012-02-07T00:00:00"/>
    <n v="-730"/>
    <m/>
    <m/>
    <s v="0"/>
    <m/>
    <m/>
    <s v="0"/>
    <m/>
    <m/>
    <s v="0"/>
    <m/>
    <m/>
    <m/>
    <s v="0"/>
    <d v="2015-12-11T00:00:00"/>
    <d v="2015-12-10T00:00:00"/>
    <n v="-1"/>
    <m/>
    <m/>
    <s v="0"/>
    <m/>
    <d v="2016-08-24T00:00:00"/>
    <s v="0"/>
    <m/>
    <m/>
    <s v="0"/>
    <m/>
    <d v="2017-07-13T00:00:00"/>
    <s v="0"/>
    <m/>
    <d v="2017-10-26T00:00:00"/>
    <s v="0"/>
    <m/>
    <m/>
    <s v="0"/>
    <m/>
    <d v="2017-11-13T00:00:00"/>
    <s v="0"/>
    <m/>
    <m/>
    <m/>
    <d v="2018-08-24T00:00:00"/>
    <d v="2018-03-30T00:00:00"/>
    <n v="32.93333333333333"/>
    <d v="2018-09-24T00:00:00"/>
    <d v="2018-04-15T00:00:00"/>
    <n v="119075"/>
    <n v="119075"/>
    <m/>
    <m/>
    <n v="-24.366666666666667"/>
    <n v="-5.4"/>
    <s v="FMA / YFR"/>
    <m/>
    <s v="équipement local refoulement par CASUD à partir du 05/02 (1 mois travaux)_x000a_possible de faire état des lieux avant la remise des clés le 18/03/18"/>
    <s v="décalage de programmation"/>
    <m/>
    <m/>
    <n v="8980518.6850000005"/>
    <n v="8889324.7249999996"/>
    <n v="-91193.960000000894"/>
    <n v="1994.0699895466005"/>
    <n v="177786.4945"/>
    <n v="8046979"/>
    <n v="7435240.3190134894"/>
    <n v="-611738.68098651059"/>
    <n v="0.85398841875615839"/>
    <m/>
    <n v="2663620"/>
    <x v="33"/>
    <n v="51448.520799999998"/>
    <n v="-91193.959999999963"/>
    <n v="5272823.875"/>
    <x v="35"/>
    <n v="1076863.6000000001"/>
    <n v="4195960.2750000004"/>
    <n v="0"/>
    <n v="105456.47749999999"/>
    <m/>
    <n v="925000"/>
    <x v="29"/>
    <n v="0"/>
    <n v="0.10405739790319113"/>
    <m/>
    <x v="1"/>
    <n v="0"/>
    <n v="18500"/>
    <n v="69948.520799999998"/>
    <n v="0"/>
    <n v="4.9400000000000004"/>
    <n v="4.93"/>
    <m/>
    <n v="0"/>
    <n v="69948.520799999998"/>
    <m/>
    <n v="69948.520799999998"/>
    <n v="0.39344113846622925"/>
    <m/>
    <m/>
    <x v="24"/>
    <n v="8889324.7249999996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Manapany "/>
    <s v="St Joseph"/>
    <s v="CA SUD"/>
    <x v="4"/>
    <s v="PRLC 0111"/>
    <s v="FHO"/>
    <s v="VAF"/>
    <s v="Tvx"/>
    <s v="oui"/>
    <m/>
    <s v="terrains achetés_x000a_PA obtenu"/>
    <s v="Commune / MOREL"/>
    <s v="AUBERT"/>
    <m/>
    <n v="7020"/>
    <n v="577000"/>
    <n v="173455"/>
    <n v="27476.190476190477"/>
    <n v="82.193732193732188"/>
    <n v="24.708689458689459"/>
    <n v="113.95918742773048"/>
    <n v="8259.7619047619046"/>
    <n v="334.28571428571428"/>
    <m/>
    <n v="0.21682051282051282"/>
    <s v="NAUC"/>
    <n v="40"/>
    <m/>
    <s v="LLTS"/>
    <n v="21"/>
    <m/>
    <n v="21"/>
    <m/>
    <m/>
    <n v="1508.31"/>
    <n v="1522.08"/>
    <n v="72.47999999999999"/>
    <n v="0"/>
    <n v="7"/>
    <n v="8"/>
    <n v="5"/>
    <n v="1"/>
    <m/>
    <m/>
    <n v="0"/>
    <n v="1"/>
    <s v="MDV"/>
    <s v="non"/>
    <d v="2013-06-13T00:00:00"/>
    <d v="2012-02-24T00:00:00"/>
    <s v="OFOI"/>
    <s v="LOGIS 7"/>
    <s v="SO"/>
    <d v="2014-07-28T00:00:00"/>
    <d v="2017-10-02T00:00:00"/>
    <s v="30/06/2014_x000a_08/04/16"/>
    <s v="16/10/2014_x000a_20/05/2016"/>
    <d v="2016-05-20T00:00:00"/>
    <d v="2016-06-06T00:00:00"/>
    <d v="2016-08-12T00:00:00"/>
    <d v="2016-11-12T00:00:00"/>
    <d v="2016-08-29T00:00:00"/>
    <d v="2017-05-30T00:00:00"/>
    <d v="2019-05-30T00:00:00"/>
    <d v="2020-05-30T00:00:00"/>
    <s v="non"/>
    <d v="2016-08-18T00:00:00"/>
    <s v="Commune 16/11/16_x000a_Région 13/12/16_x000a_CASUD 29/06/2017_x000a_CDC 21/06/17"/>
    <d v="2017-01-12T00:00:00"/>
    <m/>
    <d v="2017-06-29T00:00:00"/>
    <d v="2017-01-11T00:00:00"/>
    <s v="AUBERT"/>
    <m/>
    <m/>
    <m/>
    <d v="1901-06-30T00:00:00"/>
    <d v="1901-12-31T00:00:00"/>
    <m/>
    <s v="SO"/>
    <m/>
    <m/>
    <d v="2017-07-17T00:00:00"/>
    <n v="2017"/>
    <n v="36.166666666666664"/>
    <n v="15"/>
    <n v="16"/>
    <n v="15"/>
    <n v="17"/>
    <n v="0"/>
    <n v="1"/>
    <n v="8374.9915219489994"/>
    <n v="0"/>
    <m/>
    <d v="2018-10-17T00:00:00"/>
    <d v="2018-10-17T00:00:00"/>
    <d v="1901-12-31T00:00:00"/>
    <m/>
    <m/>
    <d v="2018-10-30T00:00:00"/>
    <d v="2019-01-10T00:00:00"/>
    <m/>
    <m/>
    <m/>
    <m/>
    <m/>
    <m/>
    <m/>
    <m/>
    <m/>
    <m/>
    <m/>
    <m/>
    <m/>
    <m/>
    <m/>
    <m/>
    <m/>
    <m/>
    <m/>
    <m/>
    <m/>
    <d v="2011-09-12T00:00:00"/>
    <d v="2011-09-13T00:00:00"/>
    <d v="2011-09-15T00:00:00"/>
    <n v="2"/>
    <d v="2014-02-06T00:00:00"/>
    <d v="2014-02-06T00:00:00"/>
    <n v="0"/>
    <d v="2012-01-10T00:00:00"/>
    <d v="2012-02-13T00:00:00"/>
    <n v="34"/>
    <d v="2012-03-30T00:00:00"/>
    <d v="2014-04-24T00:00:00"/>
    <n v="755"/>
    <d v="2015-06-09T00:00:00"/>
    <d v="2014-04-24T00:00:00"/>
    <n v="-411"/>
    <d v="2015-08-28T00:00:00"/>
    <d v="2015-12-15T00:00:00"/>
    <d v="2017-07-12T00:00:00"/>
    <n v="575"/>
    <d v="2017-07-27T00:00:00"/>
    <d v="2017-07-17T00:00:00"/>
    <n v="-10"/>
    <d v="2017-08-18T00:00:00"/>
    <d v="2017-10-30T00:00:00"/>
    <n v="73"/>
    <d v="2018-03-23T00:00:00"/>
    <d v="2018-03-23T00:00:00"/>
    <n v="0"/>
    <d v="2018-04-06T00:00:00"/>
    <d v="2018-04-06T00:00:00"/>
    <n v="0"/>
    <d v="2018-07-20T00:00:00"/>
    <d v="2018-07-20T00:00:00"/>
    <n v="0"/>
    <d v="2018-07-18T00:00:00"/>
    <d v="2018-07-18T00:00:00"/>
    <n v="0"/>
    <d v="2018-08-17T00:00:00"/>
    <d v="2018-08-17T00:00:00"/>
    <n v="0"/>
    <d v="2018-10-08T00:00:00"/>
    <d v="2018-10-08T00:00:00"/>
    <n v="0"/>
    <d v="2018-08-10T00:00:00"/>
    <d v="2018-08-10T00:00:00"/>
    <d v="2018-08-10T00:00:00"/>
    <d v="2018-10-17T00:00:00"/>
    <d v="2018-10-17T00:00:00"/>
    <n v="15.233333333333333"/>
    <d v="2018-11-16T00:00:00"/>
    <d v="2019-01-10T00:00:00"/>
    <n v="368628"/>
    <n v="368628"/>
    <s v="79 000_x000a_30 831 FRAFU"/>
    <m/>
    <n v="31.5"/>
    <n v="1.8333333333333333"/>
    <s v="FHO"/>
    <m/>
    <s v="1 mois de retard sur VRD (rattrapable) / possibilité de récupérer les clés des 5 lgts (partie basse) avant le reste (à fin avril)_x000a_pb effectif Gros Œuvre_x000a_SIDELEC doit poser un PT pour la partie haute : à la recherche d'un foncier (s'est rapproché de la Mairie)"/>
    <s v="montage technico financier complexe / reprise d'études MOE à la demande du Maire / recherche de solutions pour minimiser les fonds propres (négociation foncière avec un propriétaire foncier pour réalisation de lots à batir en dation)"/>
    <m/>
    <m/>
    <n v="3711166.59"/>
    <n v="4005609.36"/>
    <n v="294442.77"/>
    <n v="2655.6936969190683"/>
    <n v="190743.30285714284"/>
    <n v="2877228"/>
    <n v="2855004"/>
    <n v="-22224"/>
    <n v="0.72771926117128904"/>
    <m/>
    <n v="840305.59"/>
    <x v="34"/>
    <n v="61734.209047619042"/>
    <n v="456112.79999999993"/>
    <n v="1784577"/>
    <x v="36"/>
    <n v="599672"/>
    <n v="1184905"/>
    <n v="0"/>
    <n v="84979.857142857145"/>
    <m/>
    <n v="717280"/>
    <x v="30"/>
    <n v="0"/>
    <n v="0.11053249585975604"/>
    <m/>
    <x v="9"/>
    <n v="-274530"/>
    <n v="21083.333333333332"/>
    <n v="82817.542380952378"/>
    <n v="-13072.857142857143"/>
    <n v="5.15"/>
    <n v="5"/>
    <n v="1512119.8533942373"/>
    <n v="315000"/>
    <m/>
    <n v="292222.2"/>
    <m/>
    <n v="0.43934707196754536"/>
    <n v="177098.21865"/>
    <m/>
    <x v="25"/>
    <n v="5517729.2133942377"/>
    <n v="197264"/>
    <n v="132956"/>
    <d v="2011-09-28T00:00:00"/>
    <n v="24368"/>
    <m/>
    <m/>
    <m/>
    <m/>
    <d v="2014-02-06T00:00:00"/>
    <n v="17298"/>
    <n v="40998"/>
    <n v="11733"/>
    <d v="2014-12-19T00:00:00"/>
    <n v="26183"/>
    <m/>
    <m/>
    <m/>
    <m/>
    <d v="2017-07-17T00:00:00"/>
    <n v="49639"/>
    <d v="2017-12-21T00:00:00"/>
    <n v="3735"/>
    <m/>
    <m/>
    <m/>
    <m/>
    <m/>
    <m/>
    <m/>
    <m/>
    <n v="17298"/>
    <m/>
    <m/>
    <m/>
    <m/>
    <m/>
  </r>
  <r>
    <s v="Fleurs jaunes (Ilôt 6.1)"/>
    <s v="Etang-Salé"/>
    <s v="CIVIS"/>
    <x v="4"/>
    <s v="PRLC 0160"/>
    <s v="FHO"/>
    <s v="VAF"/>
    <s v="Tvx"/>
    <m/>
    <m/>
    <s v="convention paroi clouée OK / notaire doit rédiger une constitution de servitude"/>
    <s v="SODEGIS"/>
    <s v="QUINOT"/>
    <m/>
    <n v="2529"/>
    <n v="217810"/>
    <n v="217810"/>
    <n v="7260.333333333333"/>
    <n v="86.124950573349153"/>
    <n v="86.124950573349153"/>
    <n v="84.317900278724068"/>
    <n v="7260.333333333333"/>
    <n v="84.3"/>
    <n v="1077.3"/>
    <n v="1.0214313958086199"/>
    <m/>
    <n v="110"/>
    <m/>
    <s v="LLTS"/>
    <n v="30"/>
    <m/>
    <n v="30"/>
    <m/>
    <m/>
    <n v="2546.5500000000002"/>
    <n v="2583.1999999999998"/>
    <n v="86.106666666666655"/>
    <n v="6.6666666666666666E-2"/>
    <n v="0.4"/>
    <n v="0.4"/>
    <n v="0.1"/>
    <n v="3.3333333333333333E-2"/>
    <m/>
    <n v="0"/>
    <n v="0"/>
    <n v="4"/>
    <s v="collectif"/>
    <m/>
    <d v="2014-01-28T00:00:00"/>
    <m/>
    <s v="OFOI"/>
    <s v="IONIQUE 4"/>
    <m/>
    <d v="2014-09-08T00:00:00"/>
    <m/>
    <s v="ok"/>
    <d v="2015-09-09T00:00:00"/>
    <m/>
    <s v="ok"/>
    <d v="2015-09-15T00:00:00"/>
    <d v="2015-12-15T00:00:00"/>
    <d v="2015-09-22T00:00:00"/>
    <d v="2015-09-15T00:00:00"/>
    <d v="2017-09-15T00:00:00"/>
    <d v="2018-09-15T00:00:00"/>
    <s v="oui"/>
    <s v="ok"/>
    <s v="16/12/15 Région _x000a_16/12/15 Commune_x000a_10/02/16 CIVIS_x000a_11/05/16 CG"/>
    <s v="attente retour conv° garantie par signée CG &amp; transmise au CG 11/05/16"/>
    <s v="Mail 16/12/15"/>
    <d v="2016-02-10T00:00:00"/>
    <m/>
    <s v="AUBERT"/>
    <d v="2016-12-21T00:00:00"/>
    <s v="MAIL 03/04/17"/>
    <n v="4558993.83"/>
    <d v="2017-06-21T00:00:00"/>
    <d v="2017-06-22T00:00:00"/>
    <d v="2017-06-21T00:00:00"/>
    <d v="2018-12-21T00:00:00"/>
    <n v="-5.166666666666667"/>
    <m/>
    <d v="2017-02-06T00:00:00"/>
    <n v="2017"/>
    <n v="29.4"/>
    <n v="16"/>
    <n v="17"/>
    <n v="16"/>
    <n v="17"/>
    <n v="0"/>
    <n v="0"/>
    <n v="12880.082339110333"/>
    <n v="0"/>
    <d v="2016-11-28T00:00:00"/>
    <d v="2018-06-06T00:00:00"/>
    <d v="2018-06-19T00:00:00"/>
    <d v="2019-06-21T00:00:00"/>
    <m/>
    <m/>
    <d v="2018-07-19T00:00:00"/>
    <d v="2018-07-19T00:00:00"/>
    <m/>
    <m/>
    <m/>
    <m/>
    <m/>
    <m/>
    <m/>
    <m/>
    <m/>
    <m/>
    <m/>
    <m/>
    <m/>
    <m/>
    <m/>
    <m/>
    <m/>
    <m/>
    <m/>
    <m/>
    <m/>
    <d v="2013-09-26T00:00:00"/>
    <d v="2013-09-27T00:00:00"/>
    <d v="2013-10-07T00:00:00"/>
    <n v="10"/>
    <d v="2014-02-06T00:00:00"/>
    <d v="2013-12-17T00:00:00"/>
    <n v="-51"/>
    <d v="2014-03-10T00:00:00"/>
    <d v="2014-03-10T00:00:00"/>
    <n v="0"/>
    <d v="2014-07-15T00:00:00"/>
    <d v="2014-07-15T00:00:00"/>
    <n v="0"/>
    <d v="2014-09-10T00:00:00"/>
    <d v="2014-09-10T00:00:00"/>
    <n v="0"/>
    <d v="2015-02-20T00:00:00"/>
    <d v="2015-12-30T00:00:00"/>
    <d v="2017-02-06T00:00:00"/>
    <n v="404"/>
    <d v="2017-02-21T00:00:00"/>
    <d v="2017-02-07T00:00:00"/>
    <n v="-14"/>
    <d v="2017-04-14T00:00:00"/>
    <d v="2017-04-14T00:00:00"/>
    <n v="0"/>
    <d v="2017-06-22T00:00:00"/>
    <d v="2017-06-21T00:00:00"/>
    <n v="-1"/>
    <d v="2018-02-13T00:00:00"/>
    <d v="2017-12-19T00:00:00"/>
    <n v="-56"/>
    <d v="2018-03-30T00:00:00"/>
    <d v="2018-03-30T00:00:00"/>
    <n v="0"/>
    <d v="2018-02-16T00:00:00"/>
    <d v="2018-02-18T00:00:00"/>
    <n v="2"/>
    <d v="2018-03-09T00:00:00"/>
    <d v="2018-03-09T00:00:00"/>
    <n v="0"/>
    <d v="2018-05-18T00:00:00"/>
    <d v="2018-05-18T00:00:00"/>
    <n v="0"/>
    <d v="2018-05-04T00:00:00"/>
    <d v="2018-05-04T00:00:00"/>
    <d v="2018-03-01T00:00:00"/>
    <d v="2018-06-19T00:00:00"/>
    <d v="2018-06-19T00:00:00"/>
    <n v="16.566666666666666"/>
    <d v="2018-07-06T00:00:00"/>
    <d v="2018-07-19T00:00:00"/>
    <n v="0"/>
    <n v="0"/>
    <n v="99194.95"/>
    <m/>
    <n v="11.633333333333333"/>
    <n v="0.43333333333333335"/>
    <s v="FMA / FHO"/>
    <m/>
    <s v="RAS mais entreprises pas payées (GMF a 3 situations oct/nov/déc en attente)_x000a_HOAREAU JP a posé tôle en sens inverse du vent"/>
    <s v="problématique foncière non anticipée et propre à la vente en VEFA défisc_x000a_changements de RO"/>
    <m/>
    <m/>
    <n v="4943575.0199999996"/>
    <n v="4768708"/>
    <n v="-174867.01999999955"/>
    <n v="1872.6151067130038"/>
    <n v="158956.93333333332"/>
    <n v="4386257"/>
    <n v="3720168"/>
    <n v="-666089"/>
    <n v="0.7965032725845238"/>
    <m/>
    <n v="1393063.02"/>
    <x v="35"/>
    <n v="48754.066666666666"/>
    <n v="69558.979999999981"/>
    <n v="2950512"/>
    <x v="37"/>
    <n v="461009"/>
    <n v="2245077"/>
    <n v="-244426"/>
    <n v="90202.866666666669"/>
    <m/>
    <n v="600000"/>
    <x v="31"/>
    <n v="0"/>
    <n v="0.12582024313503784"/>
    <m/>
    <x v="1"/>
    <n v="0"/>
    <n v="20000"/>
    <n v="68754.066666666666"/>
    <n v="0"/>
    <n v="6.29"/>
    <n v="6.16"/>
    <n v="0"/>
    <n v="0"/>
    <n v="68754.066666666666"/>
    <n v="0"/>
    <n v="68754.066666666666"/>
    <n v="0.43253266922613004"/>
    <n v="0"/>
    <m/>
    <x v="2"/>
    <n v="4768708"/>
    <n v="230736"/>
    <n v="172890"/>
    <d v="2013-12-19T00:00:00"/>
    <n v="47620"/>
    <m/>
    <m/>
    <d v="2004-02-28T00:00:00"/>
    <n v="12520"/>
    <m/>
    <m/>
    <n v="41820"/>
    <n v="24983"/>
    <d v="2014-12-17T00:00:00"/>
    <n v="36513"/>
    <m/>
    <m/>
    <d v="2016-12-23T00:00:00"/>
    <m/>
    <d v="2016-12-23T00:00:00"/>
    <n v="28342"/>
    <d v="2017-06-21T00:00:00"/>
    <n v="11537"/>
    <d v="2017-08-24T00:00:00"/>
    <n v="11375"/>
    <m/>
    <m/>
    <m/>
    <m/>
    <m/>
    <m/>
    <m/>
    <m/>
    <m/>
    <m/>
    <m/>
    <m/>
  </r>
  <r>
    <s v="Verveine des Indes (Ilôt 5.1)"/>
    <s v="Etang-Salé"/>
    <s v="CIVIS"/>
    <x v="4"/>
    <s v="PRLC 0155"/>
    <s v="YFR"/>
    <s v="GGO"/>
    <s v="GPA"/>
    <s v="oui"/>
    <m/>
    <m/>
    <s v="SODEGIS"/>
    <s v="QUINOT"/>
    <m/>
    <n v="1500"/>
    <n v="128915"/>
    <n v="128915"/>
    <n v="8057.1875"/>
    <n v="85.943333333333328"/>
    <n v="85.943333333333328"/>
    <n v="91.350037556157076"/>
    <n v="8057.1875"/>
    <n v="93.75"/>
    <m/>
    <n v="0.94081333333333339"/>
    <m/>
    <n v="90"/>
    <m/>
    <s v="LLTS"/>
    <n v="16"/>
    <m/>
    <n v="16"/>
    <m/>
    <m/>
    <n v="1374.99"/>
    <n v="1411.22"/>
    <n v="88.201250000000002"/>
    <n v="0.125"/>
    <n v="0.125"/>
    <n v="0.375"/>
    <n v="0.3125"/>
    <n v="6.25E-2"/>
    <m/>
    <n v="0"/>
    <n v="0"/>
    <n v="2.5"/>
    <s v="collectif"/>
    <m/>
    <d v="2014-01-28T00:00:00"/>
    <d v="2014-05-22T00:00:00"/>
    <s v="INTERINVEST"/>
    <s v="PC 95 "/>
    <m/>
    <d v="2014-10-17T00:00:00"/>
    <m/>
    <d v="2014-11-12T00:00:00"/>
    <d v="2014-12-19T00:00:00"/>
    <m/>
    <d v="2015-01-13T00:00:00"/>
    <s v="23/01/2015_x000a_transmis à DAF 11/03/15"/>
    <d v="2015-04-22T00:00:00"/>
    <d v="2015-03-11T00:00:00"/>
    <d v="2015-04-24T00:00:00"/>
    <d v="2017-04-24T00:00:00"/>
    <d v="2018-04-24T00:00:00"/>
    <s v="oui"/>
    <s v="28/10/2014_x000a_12/01/15"/>
    <s v="CIVIS 25/05/15_x000a_Région 12/06/15_x000a_Commune 29/06/15_x000a_CG 30/06/15"/>
    <s v="conv° réserv° 17/09/15_x000a_G 09/11/15"/>
    <m/>
    <m/>
    <m/>
    <s v="QUINOT"/>
    <d v="2016-04-18T00:00:00"/>
    <s v="24/6/16 (mail)"/>
    <n v="2657721.79"/>
    <d v="2016-06-01T00:00:00"/>
    <d v="2018-04-18T00:00:00"/>
    <d v="2016-07-22T00:00:00"/>
    <d v="2018-02-18T00:00:00"/>
    <n v="-6.4"/>
    <m/>
    <d v="2016-04-28T00:00:00"/>
    <n v="2016"/>
    <n v="18.633333333333333"/>
    <n v="13"/>
    <n v="14"/>
    <n v="14"/>
    <n v="15"/>
    <n v="1"/>
    <n v="1"/>
    <n v="7410.2022415377578"/>
    <n v="7410.2022415377578"/>
    <d v="2016-11-28T00:00:00"/>
    <d v="2017-05-28T00:00:00"/>
    <d v="2017-07-05T00:00:00"/>
    <d v="2018-07-22T00:00:00"/>
    <d v="2017-07-12T00:00:00"/>
    <s v="ok"/>
    <d v="2017-07-26T00:00:00"/>
    <d v="2017-08-10T00:00:00"/>
    <n v="2017"/>
    <d v="2017-06-15T00:00:00"/>
    <m/>
    <s v="ok"/>
    <m/>
    <m/>
    <d v="2018-02-15T00:00:00"/>
    <m/>
    <m/>
    <d v="2017-11-17T00:00:00"/>
    <d v="2017-11-20T00:00:00"/>
    <m/>
    <m/>
    <m/>
    <m/>
    <m/>
    <m/>
    <s v="ok"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m/>
    <n v="0"/>
    <m/>
    <m/>
    <m/>
    <m/>
    <m/>
    <m/>
    <n v="0"/>
    <n v="0"/>
    <m/>
    <s v="Lot Menui Ext :PVC 400 par Sofaal_x000a_soit 1 sur 15_x000a_1  RO"/>
    <m/>
    <m/>
    <m/>
    <n v="2681224"/>
    <n v="2681224"/>
    <n v="2785032.37"/>
    <n v="103808.37000000011"/>
    <n v="2025.4928181295866"/>
    <n v="174064.52312500001"/>
    <m/>
    <n v="2460822"/>
    <n v="2460822"/>
    <n v="0.90214364797490654"/>
    <m/>
    <n v="797080"/>
    <x v="36"/>
    <n v="53939"/>
    <n v="65944"/>
    <n v="1564144"/>
    <x v="38"/>
    <n v="242605.3"/>
    <n v="1354348.07"/>
    <n v="32809.370000000112"/>
    <n v="99809.585625000007"/>
    <m/>
    <n v="320000"/>
    <x v="32"/>
    <n v="0"/>
    <n v="0.1148999212529799"/>
    <m/>
    <x v="10"/>
    <n v="0"/>
    <n v="20000"/>
    <n v="73939"/>
    <n v="0"/>
    <n v="5.07"/>
    <n v="5.07"/>
    <n v="0"/>
    <n v="0"/>
    <n v="73939"/>
    <n v="0"/>
    <n v="73939"/>
    <n v="0.42477926387620407"/>
    <n v="0"/>
    <m/>
    <x v="2"/>
    <n v="2785032.37"/>
    <n v="143972"/>
    <n v="129574"/>
    <d v="2014-01-02T00:00:00"/>
    <n v="14192"/>
    <m/>
    <m/>
    <d v="2014-02-26T00:00:00"/>
    <n v="7096"/>
    <m/>
    <m/>
    <d v="2014-07-07T00:00:00"/>
    <n v="27458"/>
    <n v="41933"/>
    <n v="20852"/>
    <m/>
    <m/>
    <d v="2016-07-13T00:00:00"/>
    <m/>
    <d v="2016-07-13T00:00:00"/>
    <m/>
    <d v="2016-07-13T00:00:00"/>
    <n v="30071"/>
    <d v="2016-10-17T00:00:00"/>
    <n v="8517"/>
    <d v="2017-03-28T00:00:00"/>
    <n v="6635"/>
    <d v="2017-06-16T00:00:00"/>
    <n v="7555"/>
    <d v="2017-07-05T00:00:00"/>
    <n v="7198"/>
    <m/>
    <m/>
    <m/>
    <m/>
    <m/>
    <m/>
  </r>
  <r>
    <s v="RPA mixte St Philippe"/>
    <s v="St Philippe"/>
    <s v="CA SUD"/>
    <x v="5"/>
    <s v="PRLC 0174"/>
    <s v="FHO"/>
    <s v="MMA"/>
    <s v="Tvx"/>
    <m/>
    <m/>
    <s v="acte signé 30/11/15_x000a_voie à détacher : en cours_x000a_"/>
    <s v="EPFR"/>
    <s v="MOUTIEN"/>
    <m/>
    <n v="3547"/>
    <n v="319230"/>
    <n v="132491.5"/>
    <n v="16801.57894736842"/>
    <n v="90"/>
    <n v="37.353115308711587"/>
    <n v="110.26440187087003"/>
    <n v="6973.2368421052633"/>
    <n v="186.68421052631578"/>
    <m/>
    <n v="0.33875951508316887"/>
    <s v="UA"/>
    <m/>
    <m/>
    <s v="LLTS"/>
    <n v="19"/>
    <m/>
    <n v="19"/>
    <m/>
    <m/>
    <n v="1200.06"/>
    <n v="1201.58"/>
    <n v="63.241052631578945"/>
    <n v="0"/>
    <n v="0.68421052631578949"/>
    <n v="0.26315789473684209"/>
    <n v="0.10526315789473684"/>
    <n v="0"/>
    <m/>
    <s v="x"/>
    <m/>
    <n v="2"/>
    <s v="collectif"/>
    <m/>
    <d v="2015-01-27T00:00:00"/>
    <m/>
    <s v="OFOI"/>
    <s v="LOGIS 8"/>
    <m/>
    <d v="2015-09-01T00:00:00"/>
    <m/>
    <d v="2016-06-15T00:00:00"/>
    <d v="2016-06-17T00:00:00"/>
    <d v="2016-06-20T00:00:00"/>
    <d v="2016-06-27T00:00:00"/>
    <d v="2016-07-08T00:00:00"/>
    <s v="06/10/2016_x000a_renvoyé le 04/10/16 à CDC"/>
    <d v="2015-08-19T00:00:00"/>
    <d v="2016-07-08T00:00:00"/>
    <d v="2018-07-08T00:00:00"/>
    <d v="2019-07-08T00:00:00"/>
    <s v="oui"/>
    <d v="2016-07-13T00:00:00"/>
    <s v="Commune 05/05/17_x000a_Région 13/12/16_x000a_CASUD 29/06/17_x000a_CG 12/01/17"/>
    <d v="2017-01-12T00:00:00"/>
    <m/>
    <d v="2017-06-29T00:00:00"/>
    <d v="2016-12-15T00:00:00"/>
    <s v="LE GOFF"/>
    <d v="2016-12-15T00:00:00"/>
    <s v="MAIL 03/04/17"/>
    <n v="2533920.5099999998"/>
    <d v="2018-06-15T00:00:00"/>
    <d v="2018-12-15T00:00:00"/>
    <m/>
    <d v="2018-11-15T00:00:00"/>
    <n v="1.8666666666666667"/>
    <m/>
    <d v="2017-07-31T00:00:00"/>
    <n v="2017"/>
    <n v="23.3"/>
    <n v="15"/>
    <n v="16"/>
    <n v="15"/>
    <n v="17"/>
    <n v="0"/>
    <n v="1"/>
    <m/>
    <n v="0"/>
    <m/>
    <d v="2018-10-31T00:00:00"/>
    <d v="2018-10-31T00:00:00"/>
    <d v="1901-12-31T00:00:00"/>
    <m/>
    <m/>
    <d v="2018-11-05T00:00:00"/>
    <d v="2019-01-10T00:00:00"/>
    <m/>
    <m/>
    <m/>
    <m/>
    <m/>
    <m/>
    <m/>
    <m/>
    <m/>
    <m/>
    <m/>
    <m/>
    <m/>
    <m/>
    <m/>
    <m/>
    <m/>
    <m/>
    <m/>
    <m/>
    <m/>
    <d v="2014-12-03T00:00:00"/>
    <d v="2014-12-04T00:00:00"/>
    <d v="2014-12-04T00:00:00"/>
    <n v="0"/>
    <d v="2015-02-06T00:00:00"/>
    <d v="2015-02-06T00:00:00"/>
    <n v="0"/>
    <d v="2015-03-16T00:00:00"/>
    <d v="2015-03-16T00:00:00"/>
    <n v="0"/>
    <d v="2015-06-22T00:00:00"/>
    <d v="2015-12-14T00:00:00"/>
    <n v="175"/>
    <d v="2016-03-15T00:00:00"/>
    <d v="2016-03-15T00:00:00"/>
    <n v="0"/>
    <d v="2016-05-24T00:00:00"/>
    <d v="2017-06-15T00:00:00"/>
    <d v="2017-07-24T00:00:00"/>
    <n v="39"/>
    <d v="2017-02-08T00:00:00"/>
    <d v="2017-07-31T00:00:00"/>
    <n v="173"/>
    <d v="2017-11-20T00:00:00"/>
    <d v="2017-12-12T00:00:00"/>
    <n v="22"/>
    <d v="2017-11-20T00:00:00"/>
    <d v="2018-02-13T00:00:00"/>
    <n v="85"/>
    <d v="2018-03-07T00:00:00"/>
    <d v="2018-03-07T00:00:00"/>
    <n v="0"/>
    <d v="2018-04-19T00:00:00"/>
    <d v="2018-04-19T00:00:00"/>
    <n v="0"/>
    <d v="2018-05-09T00:00:00"/>
    <d v="2018-05-09T00:00:00"/>
    <n v="0"/>
    <d v="2018-06-01T00:00:00"/>
    <d v="2018-06-01T00:00:00"/>
    <n v="0"/>
    <d v="2018-07-06T00:00:00"/>
    <d v="2018-07-06T00:00:00"/>
    <n v="0"/>
    <d v="2018-06-01T00:00:00"/>
    <d v="2018-06-01T00:00:00"/>
    <d v="2018-05-04T00:00:00"/>
    <d v="2018-10-31T00:00:00"/>
    <d v="2018-10-31T00:00:00"/>
    <n v="15.233333333333333"/>
    <d v="2018-11-30T00:00:00"/>
    <d v="2019-01-10T00:00:00"/>
    <n v="66994"/>
    <n v="67805"/>
    <n v="97642"/>
    <m/>
    <n v="12.9"/>
    <n v="1.3666666666666667"/>
    <s v="FHO"/>
    <m/>
    <s v="attention à SBIM_x000a_28/02/18 : courrier de demande de résiliation marché à EPMR qui conteste quantité carrelage chiffré"/>
    <s v="attente des garanties= retard OS_x000a__x000a_janvier 2018 : DAF ne paie pas entreprises qui n'ont plus de fournitures (ex : 3 situations LASETRA pas payées au 26/01/18)_x000a_"/>
    <m/>
    <m/>
    <n v="2660388.3050338021"/>
    <n v="2634369"/>
    <n v="-26019.305033802055"/>
    <n v="2195.1977401129943"/>
    <n v="138651"/>
    <n v="2613042.4974093148"/>
    <n v="1858695.408962426"/>
    <n v="-754347.08844688884"/>
    <n v="0.72037289102272195"/>
    <n v="0.39772600000000002"/>
    <n v="780309.39272020268"/>
    <x v="37"/>
    <n v="40586.368421052633"/>
    <n v="-9168.3927202026825"/>
    <n v="1460078.9123135994"/>
    <x v="39"/>
    <n v="334066"/>
    <n v="1025256"/>
    <n v="-100756.91231359937"/>
    <n v="71543.263157894733"/>
    <m/>
    <n v="420000"/>
    <x v="33"/>
    <m/>
    <n v="0.15943096809900206"/>
    <m/>
    <x v="11"/>
    <n v="0"/>
    <n v="22105.263157894737"/>
    <n v="62691.631578947367"/>
    <n v="0"/>
    <n v="5.65"/>
    <n v="5.65"/>
    <n v="510850.13361374999"/>
    <n v="380000"/>
    <n v="82691.631578947374"/>
    <n v="0"/>
    <n v="82691.631578947374"/>
    <n v="0.51790123800628007"/>
    <n v="111550"/>
    <m/>
    <x v="26"/>
    <n v="3145219.1336137499"/>
    <n v="139335"/>
    <n v="97535"/>
    <d v="2014-12-19T00:00:00"/>
    <n v="13467"/>
    <m/>
    <m/>
    <d v="2015-03-19T00:00:00"/>
    <n v="4987"/>
    <d v="2014-05-05T00:00:00"/>
    <n v="14412"/>
    <d v="2015-08-31T00:00:00"/>
    <n v="13125"/>
    <n v="42487"/>
    <n v="26102"/>
    <m/>
    <m/>
    <d v="2016-12-22T00:00:00"/>
    <m/>
    <d v="2016-12-22T00:00:00"/>
    <n v="18387"/>
    <d v="2018-02-14T00:00:00"/>
    <n v="7055"/>
    <m/>
    <m/>
    <m/>
    <m/>
    <m/>
    <m/>
    <m/>
    <m/>
    <n v="14412"/>
    <m/>
    <m/>
    <m/>
    <m/>
    <m/>
  </r>
  <r>
    <s v="Lacaussade 3"/>
    <s v="St Joseph"/>
    <s v="CA SUD"/>
    <x v="5"/>
    <s v="PRLC 0166"/>
    <s v="FBR"/>
    <s v="VAF"/>
    <s v="Tvx"/>
    <s v="dde pièces entr OK_x000a_lettre de rejet à la signature_x000a_signature marchés à compter du 23_x000a_pas reçu dossier marché"/>
    <m/>
    <m/>
    <s v="SODEGIS"/>
    <s v="LE GOFF"/>
    <m/>
    <n v="779"/>
    <n v="195000"/>
    <n v="195000"/>
    <n v="9750"/>
    <n v="250.32092426187421"/>
    <n v="250.32092426187421"/>
    <n v="150.05655978022486"/>
    <n v="9750"/>
    <n v="38.950000000000003"/>
    <m/>
    <n v="1.6681771501925546"/>
    <s v="UA"/>
    <n v="35"/>
    <n v="0"/>
    <s v="LLTS"/>
    <n v="20"/>
    <m/>
    <n v="20"/>
    <m/>
    <m/>
    <n v="1304.1600000000001"/>
    <n v="1299.51"/>
    <n v="64.975499999999997"/>
    <n v="0.2"/>
    <n v="0.4"/>
    <n v="0.2"/>
    <n v="0.2"/>
    <n v="0"/>
    <m/>
    <n v="0"/>
    <n v="0"/>
    <n v="4"/>
    <s v="collectif"/>
    <s v="non"/>
    <d v="2014-10-09T00:00:00"/>
    <m/>
    <s v="OFOI"/>
    <s v="LOGIS 8"/>
    <m/>
    <d v="2015-09-02T00:00:00"/>
    <m/>
    <d v="2016-07-28T00:00:00"/>
    <d v="2016-08-24T00:00:00"/>
    <d v="2016-08-24T00:00:00"/>
    <d v="2016-08-24T00:00:00"/>
    <d v="2016-09-07T00:00:00"/>
    <d v="2016-12-07T00:00:00"/>
    <d v="2016-10-03T00:00:00"/>
    <d v="2016-09-07T00:00:00"/>
    <d v="2018-09-07T00:00:00"/>
    <d v="2019-09-07T00:00:00"/>
    <s v="non"/>
    <s v="14/09/2016_x000a_retour 28/09 pour signature"/>
    <s v="Commune 21/12/16_x000a_CG 12/01/17_x000a_Région 19/06/17_x000a_CASUD 29/06/17"/>
    <s v="12/01/2017 mail_x000a_30/01/2017 papier"/>
    <d v="2016-12-21T00:00:00"/>
    <d v="2017-06-29T00:00:00"/>
    <d v="2017-06-26T00:00:00"/>
    <s v="LE GOFF"/>
    <d v="2016-12-15T00:00:00"/>
    <s v="MAIL 04/04/2017"/>
    <n v="2638167.36"/>
    <d v="2018-06-15T00:00:00"/>
    <d v="2018-12-15T00:00:00"/>
    <m/>
    <d v="2018-11-15T00:00:00"/>
    <n v="-4.0999999999999996"/>
    <m/>
    <d v="2017-02-20T00:00:00"/>
    <n v="2017"/>
    <n v="17.899999999999999"/>
    <n v="14"/>
    <n v="15"/>
    <n v="16"/>
    <n v="16"/>
    <n v="2"/>
    <n v="1"/>
    <n v="7269"/>
    <n v="14538"/>
    <d v="2017-05-24T00:00:00"/>
    <d v="2018-04-20T00:00:00"/>
    <d v="2018-06-20T00:00:00"/>
    <d v="1901-12-31T00:00:00"/>
    <m/>
    <m/>
    <d v="2018-06-25T00:00:00"/>
    <d v="2018-07-15T00:00:00"/>
    <m/>
    <m/>
    <m/>
    <m/>
    <m/>
    <m/>
    <m/>
    <m/>
    <m/>
    <m/>
    <m/>
    <m/>
    <m/>
    <m/>
    <m/>
    <m/>
    <m/>
    <m/>
    <m/>
    <m/>
    <m/>
    <d v="2014-07-08T00:00:00"/>
    <d v="2014-07-09T00:00:00"/>
    <d v="2014-08-11T00:00:00"/>
    <n v="33"/>
    <d v="2015-02-13T00:00:00"/>
    <d v="2015-02-05T00:00:00"/>
    <n v="-8"/>
    <d v="2015-01-23T00:00:00"/>
    <d v="2015-01-23T00:00:00"/>
    <n v="0"/>
    <d v="2015-04-27T00:00:00"/>
    <d v="2015-06-29T00:00:00"/>
    <n v="63"/>
    <d v="2015-08-28T00:00:00"/>
    <d v="2015-09-07T00:00:00"/>
    <n v="10"/>
    <d v="2016-06-07T00:00:00"/>
    <d v="2017-03-16T00:00:00"/>
    <d v="2017-02-15T00:00:00"/>
    <n v="-29"/>
    <d v="2017-03-02T00:00:00"/>
    <d v="2017-02-20T00:00:00"/>
    <n v="-10"/>
    <d v="2017-05-05T00:00:00"/>
    <d v="2017-06-07T00:00:00"/>
    <n v="33"/>
    <d v="2017-06-13T00:00:00"/>
    <d v="2017-08-31T00:00:00"/>
    <n v="79"/>
    <d v="2017-08-31T00:00:00"/>
    <d v="2017-11-15T00:00:00"/>
    <n v="76"/>
    <d v="2017-11-15T00:00:00"/>
    <d v="2018-03-04T00:00:00"/>
    <n v="109"/>
    <d v="2017-11-08T00:00:00"/>
    <d v="2018-03-04T00:00:00"/>
    <n v="116"/>
    <d v="2018-03-08T00:00:00"/>
    <d v="2018-03-08T00:00:00"/>
    <n v="0"/>
    <d v="2018-04-10T00:00:00"/>
    <d v="2018-04-10T00:00:00"/>
    <n v="0"/>
    <m/>
    <m/>
    <m/>
    <d v="2018-04-16T00:00:00"/>
    <d v="2018-06-20T00:00:00"/>
    <n v="14"/>
    <d v="2018-05-16T00:00:00"/>
    <d v="2018-07-15T00:00:00"/>
    <m/>
    <m/>
    <n v="11272.51"/>
    <m/>
    <n v="1.9666666666666666"/>
    <n v="2"/>
    <s v="JMO / NBL / FBR"/>
    <s v="Lot 9 = 1 mois"/>
    <s v="SUN RUN à résilier - retard à évaluer_x000a_en attente chiffrage CLIMEO_x000a_13/02 : constat huissier_x000a_voir Direction pour déroger aux procédures"/>
    <s v="info/ difficultés de terrassement dû à la nature du sol rencontré (courrier LASETRA) /retard galvanisation charpente+ 45 jours"/>
    <m/>
    <m/>
    <n v="2722212.2295052204"/>
    <n v="2774522"/>
    <n v="52309.770494779572"/>
    <n v="2127.4398846767267"/>
    <n v="138726.1"/>
    <n v="2475597.5350000001"/>
    <n v="2036370.9416817785"/>
    <n v="-439226.59331822162"/>
    <n v="0.74936682118833287"/>
    <n v="0.39772600000000002"/>
    <n v="819282.73457759398"/>
    <x v="38"/>
    <n v="40154.9"/>
    <n v="-16184.734577593976"/>
    <n v="1502929.4949276266"/>
    <x v="40"/>
    <n v="339371"/>
    <n v="1205297"/>
    <n v="41738.505072373431"/>
    <n v="77233.399999999994"/>
    <m/>
    <n v="400000"/>
    <x v="34"/>
    <m/>
    <n v="0.14416897757523639"/>
    <m/>
    <x v="12"/>
    <n v="0"/>
    <n v="20000"/>
    <n v="60154.9"/>
    <n v="0"/>
    <n v="5.59"/>
    <n v="5.49"/>
    <n v="0"/>
    <n v="0"/>
    <n v="60154.9"/>
    <n v="0"/>
    <n v="60154.9"/>
    <n v="0.43362352145702937"/>
    <n v="0"/>
    <m/>
    <x v="2"/>
    <n v="2774522"/>
    <n v="131447"/>
    <n v="105157"/>
    <d v="2014-10-24T00:00:00"/>
    <n v="13352"/>
    <m/>
    <m/>
    <m/>
    <n v="6171"/>
    <d v="2015-03-03T00:00:00"/>
    <n v="12860"/>
    <d v="2015-04-27T00:00:00"/>
    <n v="13828"/>
    <m/>
    <n v="19512"/>
    <m/>
    <m/>
    <d v="2016-12-13T00:00:00"/>
    <m/>
    <d v="2016-12-13T00:00:00"/>
    <n v="19717"/>
    <d v="2017-08-17T00:00:00"/>
    <n v="6573"/>
    <m/>
    <m/>
    <d v="2017-12-14T00:00:00"/>
    <n v="13144"/>
    <m/>
    <m/>
    <m/>
    <m/>
    <n v="12860"/>
    <m/>
    <m/>
    <m/>
    <m/>
    <m/>
  </r>
  <r>
    <s v="Ilot 6.2"/>
    <s v="Etang-Salé"/>
    <s v="CIVIS"/>
    <x v="5"/>
    <s v="PRLC 0157"/>
    <s v="FVA"/>
    <s v="VAF"/>
    <s v="Tvx"/>
    <m/>
    <m/>
    <m/>
    <s v="SODEGIS"/>
    <s v="QUINOT"/>
    <m/>
    <n v="1263"/>
    <n v="126500"/>
    <n v="126500"/>
    <n v="7027.7777777777774"/>
    <n v="100.15835312747427"/>
    <n v="100.15835312747427"/>
    <n v="86.456710134230022"/>
    <n v="7027.7777777777774"/>
    <n v="70.166666666666671"/>
    <m/>
    <n v="1.158479809976247"/>
    <m/>
    <m/>
    <m/>
    <s v="LLTS"/>
    <n v="18"/>
    <m/>
    <n v="18"/>
    <m/>
    <m/>
    <n v="1509.87"/>
    <n v="1463.16"/>
    <n v="81.286666666666676"/>
    <n v="0"/>
    <n v="0.33333333333333331"/>
    <n v="0.33333333333333331"/>
    <n v="0.33333333333333331"/>
    <n v="0"/>
    <m/>
    <n v="0"/>
    <n v="0"/>
    <n v="3"/>
    <s v="collectif"/>
    <s v="oui"/>
    <d v="2015-02-12T00:00:00"/>
    <m/>
    <s v="INTERINVEST"/>
    <s v="SNC ALESIA 6"/>
    <m/>
    <d v="2015-10-21T00:00:00"/>
    <m/>
    <m/>
    <m/>
    <m/>
    <d v="2017-05-30T00:00:00"/>
    <d v="2017-07-13T00:00:00"/>
    <d v="2017-10-05T00:00:00"/>
    <d v="2017-08-10T00:00:00"/>
    <d v="2017-10-05T00:00:00"/>
    <d v="2019-10-05T00:00:00"/>
    <d v="2020-10-05T00:00:00"/>
    <s v="non"/>
    <d v="2017-07-04T00:00:00"/>
    <s v="ES 15/10/17_x000a_CG 19/10/17"/>
    <m/>
    <m/>
    <m/>
    <m/>
    <s v="BARET/GILLOT"/>
    <m/>
    <m/>
    <m/>
    <d v="1901-06-30T00:00:00"/>
    <m/>
    <m/>
    <s v="SO"/>
    <m/>
    <m/>
    <d v="2018-01-22T00:00:00"/>
    <n v="2018"/>
    <n v="27.466666666666665"/>
    <n v="15"/>
    <n v="16"/>
    <n v="15"/>
    <n v="16"/>
    <n v="0"/>
    <n v="0"/>
    <m/>
    <n v="0"/>
    <m/>
    <d v="2019-04-22T00:00:00"/>
    <d v="2019-04-22T00:00:00"/>
    <d v="1901-12-31T00:00:00"/>
    <m/>
    <m/>
    <d v="2019-05-22T00:00:00"/>
    <d v="2019-05-22T00:00:00"/>
    <m/>
    <m/>
    <m/>
    <m/>
    <m/>
    <m/>
    <m/>
    <m/>
    <m/>
    <m/>
    <m/>
    <m/>
    <m/>
    <m/>
    <m/>
    <m/>
    <m/>
    <m/>
    <m/>
    <m/>
    <m/>
    <d v="2014-11-20T00:00:00"/>
    <d v="2014-11-12T00:00:00"/>
    <d v="2014-11-12T00:00:00"/>
    <n v="0"/>
    <d v="2015-02-06T00:00:00"/>
    <d v="2015-01-08T00:00:00"/>
    <n v="-29"/>
    <d v="2015-01-29T00:00:00"/>
    <d v="2015-01-29T00:00:00"/>
    <n v="0"/>
    <d v="2015-04-15T00:00:00"/>
    <d v="2015-04-15T00:00:00"/>
    <n v="0"/>
    <d v="2015-06-19T00:00:00"/>
    <d v="2015-06-19T00:00:00"/>
    <n v="0"/>
    <d v="2016-04-12T00:00:00"/>
    <d v="2016-05-12T00:00:00"/>
    <d v="2017-12-19T00:00:00"/>
    <n v="586"/>
    <d v="2018-01-12T00:00:00"/>
    <d v="2018-01-22T00:00:00"/>
    <n v="10"/>
    <m/>
    <d v="2018-03-04T00:00:00"/>
    <s v="0"/>
    <m/>
    <d v="2018-03-04T00:00:00"/>
    <s v="0"/>
    <m/>
    <d v="2018-03-04T00:00:00"/>
    <s v="0"/>
    <m/>
    <d v="2018-03-04T00:00:00"/>
    <s v="0"/>
    <m/>
    <m/>
    <s v="0"/>
    <m/>
    <m/>
    <s v="0"/>
    <m/>
    <m/>
    <s v="0"/>
    <m/>
    <m/>
    <m/>
    <d v="2019-03-16T00:00:00"/>
    <d v="2019-04-22T00:00:00"/>
    <n v="13.933333333333334"/>
    <d v="2019-04-16T00:00:00"/>
    <d v="2019-05-22T00:00:00"/>
    <m/>
    <m/>
    <n v="110043"/>
    <m/>
    <n v="18.899999999999999"/>
    <n v="1.2"/>
    <s v="JMO / AGA / FVA"/>
    <m/>
    <s v="O'SUD Peinture pas à jour attestation fiscale"/>
    <s v="passage en crédit d'impôt"/>
    <m/>
    <m/>
    <n v="3031790"/>
    <n v="2892490.59"/>
    <n v="-139299.41000000015"/>
    <n v="1915.7216117943929"/>
    <n v="160693.92166666666"/>
    <n v="2583163.1920000003"/>
    <n v="2614548"/>
    <n v="31384.807999999728"/>
    <n v="0.92289099132384733"/>
    <n v="0.39750000000000002"/>
    <n v="883707"/>
    <x v="39"/>
    <n v="48120.866111111107"/>
    <n v="-17531.410000000033"/>
    <n v="1788083"/>
    <x v="41"/>
    <n v="261692"/>
    <n v="1396287"/>
    <n v="-130104"/>
    <n v="92109.944444444438"/>
    <m/>
    <n v="360000"/>
    <x v="26"/>
    <m/>
    <n v="0.12446021475215932"/>
    <m/>
    <x v="13"/>
    <n v="0"/>
    <n v="20000"/>
    <n v="68120.8661111111"/>
    <n v="0"/>
    <n v="5.19"/>
    <n v="5.13"/>
    <n v="0"/>
    <n v="0"/>
    <n v="68120.8661111111"/>
    <n v="0"/>
    <n v="68120.8661111111"/>
    <n v="0.42391688126459898"/>
    <n v="0"/>
    <m/>
    <x v="2"/>
    <n v="2892490.59"/>
    <n v="143558"/>
    <n v="93313"/>
    <d v="2014-12-17T00:00:00"/>
    <n v="14522"/>
    <m/>
    <m/>
    <d v="2014-12-19T00:00:00"/>
    <m/>
    <m/>
    <n v="21783"/>
    <d v="2015-03-23T00:00:00"/>
    <n v="13917"/>
    <n v="42202"/>
    <n v="21557"/>
    <m/>
    <m/>
    <d v="2017-09-11T00:00:00"/>
    <n v="7178"/>
    <d v="2017-12-23T00:00:00"/>
    <n v="14356"/>
    <m/>
    <m/>
    <m/>
    <m/>
    <m/>
    <m/>
    <m/>
    <m/>
    <m/>
    <m/>
    <n v="21783"/>
    <m/>
    <m/>
    <m/>
    <m/>
    <m/>
  </r>
  <r>
    <s v="Amata (HE 168)"/>
    <s v="St Louis"/>
    <s v="CIVIS"/>
    <x v="5"/>
    <s v="PRLC 0129"/>
    <s v="APU"/>
    <m/>
    <m/>
    <m/>
    <m/>
    <s v="servitude PERRAU à mettre en place_x000a_rétrocession zone N à faire"/>
    <s v="EPFR"/>
    <m/>
    <m/>
    <n v="13077"/>
    <n v="590200"/>
    <n v="590200"/>
    <n v="12830.434782608696"/>
    <n v="45.132675690142996"/>
    <n v="45.132675690142996"/>
    <n v="146.36735179747637"/>
    <n v="12830.434782608696"/>
    <n v="284.28260869565219"/>
    <m/>
    <n v="0.308352068517244"/>
    <m/>
    <m/>
    <m/>
    <s v="LLS"/>
    <n v="46"/>
    <n v="46"/>
    <m/>
    <m/>
    <m/>
    <n v="4286.38"/>
    <n v="4032.32"/>
    <m/>
    <m/>
    <m/>
    <n v="0.78260869565217395"/>
    <n v="0.21739130434782608"/>
    <m/>
    <m/>
    <m/>
    <m/>
    <n v="2"/>
    <s v="collectif"/>
    <m/>
    <d v="2014-10-09T00:00:00"/>
    <m/>
    <s v="INGEPAR"/>
    <s v="LS 119"/>
    <m/>
    <d v="2015-10-27T00:00:00"/>
    <d v="2015-11-27T00:00:00"/>
    <d v="2016-08-18T00:00:00"/>
    <d v="2016-08-31T00:00:00"/>
    <d v="2016-09-01T00:00:00"/>
    <d v="2016-09-01T00:00:00"/>
    <d v="2016-09-07T00:00:00"/>
    <d v="2016-12-07T00:00:00"/>
    <d v="2016-10-17T00:00:00"/>
    <d v="2016-09-07T00:00:00"/>
    <d v="2018-09-07T00:00:00"/>
    <d v="2019-09-07T00:00:00"/>
    <s v="non"/>
    <d v="2016-09-14T00:00:00"/>
    <s v="CG 12/01/17_x000a_Commune 18/01/17_x000a_CIVIS 18/01/17_x000a_Région 19/06/17"/>
    <d v="2017-01-12T00:00:00"/>
    <d v="2017-01-18T00:00:00"/>
    <d v="2017-01-18T00:00:00"/>
    <d v="2017-06-26T00:00:00"/>
    <m/>
    <d v="2016-12-21T00:00:00"/>
    <s v="MAIL 03/04/17"/>
    <n v="9447490.1300000008"/>
    <d v="2018-06-21T00:00:00"/>
    <d v="2018-12-21T00:00:00"/>
    <m/>
    <d v="2018-10-16T00:00:00"/>
    <n v="0.46666666666666667"/>
    <m/>
    <d v="2017-02-16T00:00:00"/>
    <n v="2017"/>
    <n v="15.933333333333334"/>
    <n v="19"/>
    <n v="20"/>
    <n v="18"/>
    <n v="20"/>
    <e v="#NUM!"/>
    <n v="0"/>
    <n v="25851.972027750006"/>
    <n v="-25851.972027750006"/>
    <d v="2017-06-01T00:00:00"/>
    <d v="2018-09-16T00:00:00"/>
    <d v="2018-09-14T00:00:00"/>
    <d v="2018-09-30T00:00:00"/>
    <m/>
    <m/>
    <d v="2018-10-14T00:00:00"/>
    <d v="2018-10-30T00:00:00"/>
    <m/>
    <m/>
    <m/>
    <m/>
    <m/>
    <m/>
    <m/>
    <m/>
    <m/>
    <m/>
    <m/>
    <m/>
    <m/>
    <m/>
    <m/>
    <m/>
    <m/>
    <m/>
    <m/>
    <m/>
    <m/>
    <d v="2012-08-09T00:00:00"/>
    <d v="2012-08-10T00:00:00"/>
    <d v="2014-09-17T00:00:00"/>
    <n v="768"/>
    <d v="2015-02-06T00:00:00"/>
    <d v="2015-02-05T00:00:00"/>
    <n v="-1"/>
    <d v="2015-03-12T00:00:00"/>
    <d v="2015-04-07T00:00:00"/>
    <n v="26"/>
    <d v="2015-07-16T00:00:00"/>
    <d v="2015-08-10T00:00:00"/>
    <n v="25"/>
    <d v="2015-10-19T00:00:00"/>
    <d v="2015-12-01T00:00:00"/>
    <n v="43"/>
    <d v="2016-05-24T00:00:00"/>
    <d v="2017-01-27T00:00:00"/>
    <d v="2017-02-07T00:00:00"/>
    <n v="11"/>
    <d v="2017-02-16T00:00:00"/>
    <d v="2017-02-16T00:00:00"/>
    <n v="0"/>
    <d v="2017-06-23T00:00:00"/>
    <d v="2017-06-23T00:00:00"/>
    <n v="0"/>
    <d v="2017-07-26T00:00:00"/>
    <d v="2018-03-01T00:00:00"/>
    <n v="218"/>
    <d v="2017-11-07T00:00:00"/>
    <d v="2018-03-04T00:00:00"/>
    <n v="117"/>
    <d v="2018-02-02T00:00:00"/>
    <d v="2018-03-04T00:00:00"/>
    <n v="30"/>
    <d v="2018-03-23T00:00:00"/>
    <d v="2018-03-23T00:00:00"/>
    <n v="0"/>
    <d v="2018-04-24T00:00:00"/>
    <d v="2018-04-24T00:00:00"/>
    <n v="0"/>
    <d v="2018-09-03T00:00:00"/>
    <d v="2018-09-03T00:00:00"/>
    <n v="0"/>
    <m/>
    <m/>
    <m/>
    <d v="2018-09-14T00:00:00"/>
    <d v="2018-09-14T00:00:00"/>
    <n v="19.166666666666668"/>
    <d v="2018-10-12T00:00:00"/>
    <d v="2018-10-30T00:00:00"/>
    <m/>
    <m/>
    <n v="481600.82"/>
    <m/>
    <n v="29.066666666666666"/>
    <n v="0.6"/>
    <s v="SFE / APU"/>
    <m/>
    <s v="lgt témoin 08/02/18_x000a_réunion Mairie 22/02 sur rétrocession_x000a_pb avancement lot placo LCR_x000a_fondations à terminer fin 02/18"/>
    <s v="aléa mouvement de terrain grevant la parcelle après maîtrise foncière, à lever auprès du BRGM _x000a_sécurisation du site proximité école_x000a_doute sur EPGM"/>
    <m/>
    <m/>
    <n v="8830884.4772763215"/>
    <n v="8447391"/>
    <m/>
    <n v="2060.2196905725395"/>
    <n v="191975.74950600698"/>
    <n v="7838932.0183052132"/>
    <m/>
    <n v="-7838932.0183052132"/>
    <n v="0"/>
    <n v="0.39750000000000002"/>
    <n v="2934715.4772763224"/>
    <x v="40"/>
    <n v="63798.162549485271"/>
    <m/>
    <n v="5440169"/>
    <x v="42"/>
    <n v="1258166"/>
    <n v="4027708"/>
    <m/>
    <n v="118264.54347826086"/>
    <m/>
    <n v="456000"/>
    <x v="35"/>
    <m/>
    <n v="5.163695677068153E-2"/>
    <m/>
    <x v="14"/>
    <n v="-50000"/>
    <n v="9913.04347826087"/>
    <n v="73711.206027746142"/>
    <n v="-1086.9565217391305"/>
    <n v="6.38"/>
    <n v="5.74"/>
    <m/>
    <m/>
    <n v="66275.760869565216"/>
    <m/>
    <n v="66275.760869565216"/>
    <n v="0.3609025555937922"/>
    <m/>
    <m/>
    <x v="8"/>
    <n v="8447391"/>
    <n v="472842"/>
    <n v="328625"/>
    <d v="2012-07-12T00:00:00"/>
    <n v="41000"/>
    <m/>
    <m/>
    <m/>
    <m/>
    <m/>
    <n v="81523"/>
    <m/>
    <n v="46614"/>
    <n v="42039"/>
    <n v="72488"/>
    <m/>
    <m/>
    <d v="2016-12-12T00:00:00"/>
    <n v="18438"/>
    <d v="2017-02-28T00:00:00"/>
    <n v="47284"/>
    <d v="2017-12-11T00:00:00"/>
    <n v="21278"/>
    <m/>
    <m/>
    <m/>
    <m/>
    <m/>
    <m/>
    <m/>
    <m/>
    <n v="81523"/>
    <m/>
    <m/>
    <m/>
    <m/>
    <m/>
  </r>
  <r>
    <s v="Amata (HE 168) LLTS"/>
    <s v="St Louis"/>
    <s v="CIVIS"/>
    <x v="5"/>
    <s v="PRLC 0129"/>
    <s v="APU"/>
    <s v="VAF"/>
    <s v="Tvx"/>
    <m/>
    <m/>
    <s v="servitude PERRAU à mettre en place_x000a_rétrocession zone N à faire"/>
    <s v="EPFR"/>
    <s v="AUBERT"/>
    <m/>
    <n v="13077"/>
    <m/>
    <m/>
    <n v="0"/>
    <n v="0"/>
    <n v="0"/>
    <n v="0"/>
    <n v="0"/>
    <n v="1089.75"/>
    <m/>
    <n v="5.1805459967882543E-2"/>
    <m/>
    <m/>
    <m/>
    <s v="LLTS"/>
    <n v="12"/>
    <m/>
    <n v="12"/>
    <m/>
    <m/>
    <n v="1301.51"/>
    <n v="677.46"/>
    <n v="56.455000000000005"/>
    <m/>
    <n v="1"/>
    <m/>
    <m/>
    <m/>
    <m/>
    <m/>
    <m/>
    <n v="2"/>
    <s v="collectif"/>
    <m/>
    <d v="2014-10-09T00:00:00"/>
    <m/>
    <s v="INGEPAR"/>
    <s v="LS 119"/>
    <m/>
    <d v="2015-10-29T00:00:00"/>
    <d v="2015-11-27T00:00:00"/>
    <d v="2016-08-18T00:00:00"/>
    <d v="2016-08-31T00:00:00"/>
    <d v="2016-09-01T00:00:00"/>
    <d v="2016-09-01T00:00:00"/>
    <d v="2016-09-09T00:00:00"/>
    <d v="2016-12-09T00:00:00"/>
    <d v="2016-10-17T00:00:00"/>
    <d v="2016-09-09T00:00:00"/>
    <d v="2018-09-09T00:00:00"/>
    <d v="2019-09-09T00:00:00"/>
    <s v="non"/>
    <d v="2016-09-14T00:00:00"/>
    <s v="CG 12/01/17_x000a_Commune 18/01/17_x000a_CIVIS 18/01/17_x000a_Région 22/06/17"/>
    <d v="2017-01-12T00:00:00"/>
    <d v="2017-01-18T00:00:00"/>
    <d v="2017-01-18T00:00:00"/>
    <d v="2017-06-26T00:00:00"/>
    <s v="AUBERT"/>
    <d v="2016-12-21T00:00:00"/>
    <s v="MAIL 03/04/17"/>
    <n v="9447490.1300000008"/>
    <d v="2018-06-21T00:00:00"/>
    <d v="2018-12-21T00:00:00"/>
    <m/>
    <d v="2018-10-16T00:00:00"/>
    <n v="0.46666666666666667"/>
    <m/>
    <d v="2017-02-16T00:00:00"/>
    <n v="2017"/>
    <n v="15.866666666666667"/>
    <n v="19"/>
    <n v="20"/>
    <n v="18"/>
    <n v="20"/>
    <e v="#NUM!"/>
    <n v="0"/>
    <n v="3973"/>
    <n v="-3973"/>
    <d v="2017-06-01T00:00:00"/>
    <d v="2018-09-16T00:00:00"/>
    <d v="2018-09-14T00:00:00"/>
    <d v="1901-12-31T00:00:00"/>
    <m/>
    <m/>
    <d v="2018-10-14T00:00:00"/>
    <d v="2018-10-30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18-09-14T00:00:00"/>
    <n v="0"/>
    <m/>
    <d v="2018-10-30T00:00:00"/>
    <m/>
    <m/>
    <s v="-"/>
    <m/>
    <n v="0"/>
    <n v="1446.7666666666667"/>
    <m/>
    <m/>
    <m/>
    <m/>
    <m/>
    <m/>
    <n v="1416864.7499111779"/>
    <n v="1499983.8900000001"/>
    <n v="83119.140088822227"/>
    <n v="1088.631474142479"/>
    <n v="118072.06249259815"/>
    <n v="1249637.106694787"/>
    <m/>
    <n v="-1249637.106694787"/>
    <n v="0"/>
    <n v="0.39750000000000002"/>
    <n v="410870.74991117785"/>
    <x v="41"/>
    <n v="34239.229159264818"/>
    <n v="32621.140088822169"/>
    <n v="789994"/>
    <x v="43"/>
    <n v="172922"/>
    <n v="598634"/>
    <n v="-18438"/>
    <n v="65832.833333333328"/>
    <m/>
    <n v="216000"/>
    <x v="36"/>
    <m/>
    <n v="0.15244927224955018"/>
    <m/>
    <x v="15"/>
    <n v="50000"/>
    <n v="18000"/>
    <n v="52239.229159264825"/>
    <n v="4166.666666666667"/>
    <n v="5.85"/>
    <n v="5.84"/>
    <n v="0"/>
    <n v="0"/>
    <n v="59124.324166666665"/>
    <n v="0"/>
    <n v="59124.324166666665"/>
    <n v="0.47299967334982507"/>
    <n v="0"/>
    <m/>
    <x v="2"/>
    <n v="1499983.8900000001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laine St Paul"/>
    <s v="St Paul"/>
    <s v="TCO"/>
    <x v="5"/>
    <s v="PRLC 0167"/>
    <s v="FBR"/>
    <s v="DBE"/>
    <s v="Tvx"/>
    <s v="dde pièces entr OK_x000a_lettre de rejet à la signature_x000a_signature marchés à compter du 23_x000a_pas reçu dossier marché"/>
    <m/>
    <s v="acte signé"/>
    <s v="EPFR / RUET"/>
    <s v="BARET/GILLOT"/>
    <m/>
    <n v="1767"/>
    <n v="210000"/>
    <n v="210000"/>
    <n v="11666.666666666666"/>
    <n v="118.84550084889644"/>
    <n v="118.84550084889644"/>
    <n v="122.68720021966851"/>
    <n v="11666.666666666666"/>
    <n v="98.166666666666671"/>
    <m/>
    <n v="0.96868704018109797"/>
    <s v="UB4"/>
    <n v="200"/>
    <m/>
    <s v="LLTS"/>
    <n v="18"/>
    <m/>
    <n v="18"/>
    <m/>
    <m/>
    <n v="1709.55"/>
    <n v="1711.67"/>
    <n v="95.092777777777783"/>
    <n v="0"/>
    <n v="0"/>
    <n v="0.55555555555555558"/>
    <n v="0.22222222222222221"/>
    <n v="0.22222222222222221"/>
    <m/>
    <n v="0"/>
    <n v="0"/>
    <n v="3"/>
    <s v="collectif"/>
    <s v="oui"/>
    <d v="2014-10-08T00:00:00"/>
    <m/>
    <s v="OFOI"/>
    <s v="LOGIS 9"/>
    <m/>
    <d v="2015-11-12T00:00:00"/>
    <m/>
    <d v="2016-07-22T00:00:00"/>
    <d v="2016-08-25T00:00:00"/>
    <d v="2016-08-25T00:00:00"/>
    <d v="2016-08-26T00:00:00"/>
    <d v="2016-09-07T00:00:00"/>
    <d v="2016-12-07T00:00:00"/>
    <d v="2016-10-05T00:00:00"/>
    <d v="2016-09-07T00:00:00"/>
    <d v="2018-09-07T00:00:00"/>
    <d v="2019-09-07T00:00:00"/>
    <s v="non"/>
    <d v="2016-09-14T00:00:00"/>
    <d v="2016-12-21T00:00:00"/>
    <m/>
    <m/>
    <d v="2016-12-21T00:00:00"/>
    <m/>
    <s v="BARET/GILLOT"/>
    <d v="2016-12-15T00:00:00"/>
    <s v="MAIL 03/04/17"/>
    <n v="3231709.2458374146"/>
    <d v="2018-06-15T00:00:00"/>
    <d v="2018-12-15T00:00:00"/>
    <m/>
    <d v="2018-12-15T00:00:00"/>
    <n v="-3.5666666666666669"/>
    <m/>
    <d v="2017-02-06T00:00:00"/>
    <n v="2017"/>
    <n v="15.066666666666666"/>
    <n v="16"/>
    <n v="17"/>
    <n v="18"/>
    <n v="18"/>
    <n v="2"/>
    <n v="1"/>
    <m/>
    <n v="0"/>
    <d v="2017-05-24T00:00:00"/>
    <d v="2018-06-06T00:00:00"/>
    <d v="2018-08-16T00:00:00"/>
    <d v="1901-12-31T00:00:00"/>
    <m/>
    <m/>
    <d v="2018-08-17T00:00:00"/>
    <d v="2018-08-30T00:00:00"/>
    <m/>
    <m/>
    <m/>
    <m/>
    <m/>
    <m/>
    <m/>
    <m/>
    <m/>
    <m/>
    <m/>
    <m/>
    <m/>
    <m/>
    <m/>
    <m/>
    <m/>
    <m/>
    <m/>
    <m/>
    <m/>
    <d v="2014-06-23T00:00:00"/>
    <d v="2014-06-24T00:00:00"/>
    <d v="2014-06-23T00:00:00"/>
    <n v="-1"/>
    <d v="2015-01-23T00:00:00"/>
    <d v="2014-12-23T00:00:00"/>
    <n v="-31"/>
    <d v="2015-01-22T00:00:00"/>
    <d v="2015-02-03T00:00:00"/>
    <n v="12"/>
    <d v="2015-03-15T00:00:00"/>
    <d v="2015-05-04T00:00:00"/>
    <n v="50"/>
    <d v="2015-07-01T00:00:00"/>
    <d v="2015-09-07T00:00:00"/>
    <n v="68"/>
    <d v="2016-04-12T00:00:00"/>
    <d v="2016-11-21T00:00:00"/>
    <d v="2017-02-03T00:00:00"/>
    <n v="74"/>
    <d v="2017-02-17T00:00:00"/>
    <d v="2017-02-06T00:00:00"/>
    <n v="-11"/>
    <d v="2017-03-06T00:00:00"/>
    <d v="2017-05-12T00:00:00"/>
    <n v="67"/>
    <d v="2017-06-13T00:00:00"/>
    <d v="2017-07-07T00:00:00"/>
    <n v="24"/>
    <d v="2017-11-29T00:00:00"/>
    <d v="2017-11-25T00:00:00"/>
    <n v="-4"/>
    <d v="2017-12-13T00:00:00"/>
    <d v="2018-03-04T00:00:00"/>
    <n v="81"/>
    <d v="2018-02-05T00:00:00"/>
    <d v="2018-03-04T00:00:00"/>
    <n v="27"/>
    <d v="2018-04-26T00:00:00"/>
    <d v="2018-04-26T00:00:00"/>
    <n v="0"/>
    <d v="2018-05-24T00:00:00"/>
    <d v="2018-05-24T00:00:00"/>
    <n v="0"/>
    <m/>
    <m/>
    <m/>
    <d v="2018-06-01T00:00:00"/>
    <d v="2018-08-16T00:00:00"/>
    <n v="16"/>
    <d v="2018-06-29T00:00:00"/>
    <d v="2018-08-30T00:00:00"/>
    <m/>
    <m/>
    <n v="174061.74"/>
    <m/>
    <n v="5.3666666666666663"/>
    <n v="2.0666666666666669"/>
    <s v="JMO / NBL / FBR"/>
    <m/>
    <s v="SMOI : 1 mois retard (à confirmer fin 02/18)_x000a_mur voisin : 1,5 mois retard"/>
    <s v="INFO / arrêt de chantier du 20/02/17 au 17/04/2017 suite pb d'avoisinant (bornage et mur)/retard galvanisation charpente"/>
    <m/>
    <m/>
    <n v="3425875.7637468651"/>
    <n v="3413701"/>
    <n v="-12174.763746865094"/>
    <n v="1996.8418589687344"/>
    <n v="189650.05555555556"/>
    <n v="3100225"/>
    <n v="2697771.947337376"/>
    <n v="-402453.05266262405"/>
    <n v="0.80687358331367054"/>
    <n v="0.39772600000000002"/>
    <n v="1068687.828"/>
    <x v="42"/>
    <n v="54598.888888888891"/>
    <n v="-85907.82799999998"/>
    <n v="1997187.9357468651"/>
    <x v="44"/>
    <n v="334225"/>
    <n v="1690516"/>
    <n v="27553.064253134886"/>
    <n v="112485.61111111111"/>
    <m/>
    <n v="360000"/>
    <x v="26"/>
    <m/>
    <n v="0.10545739067364131"/>
    <m/>
    <x v="16"/>
    <n v="0"/>
    <n v="20000"/>
    <n v="74598.888888888891"/>
    <n v="0"/>
    <n v="5.0199999999999996"/>
    <n v="4.8499999999999996"/>
    <n v="0"/>
    <n v="0"/>
    <n v="74598.888888888891"/>
    <n v="0"/>
    <n v="74598.888888888891"/>
    <n v="0.39335020846875574"/>
    <n v="0"/>
    <m/>
    <x v="2"/>
    <n v="3413701"/>
    <n v="167759"/>
    <n v="134207"/>
    <d v="2014-10-29T00:00:00"/>
    <n v="19485"/>
    <m/>
    <m/>
    <d v="2014-12-19T00:00:00"/>
    <m/>
    <d v="2014-12-19T00:00:00"/>
    <n v="29228"/>
    <d v="2015-03-23T00:00:00"/>
    <n v="10005"/>
    <n v="42202"/>
    <n v="25161"/>
    <m/>
    <m/>
    <d v="2016-12-15T00:00:00"/>
    <m/>
    <d v="2016-12-15T00:00:00"/>
    <n v="25164"/>
    <d v="2017-08-16T00:00:00"/>
    <n v="8388"/>
    <m/>
    <m/>
    <d v="2017-12-13T00:00:00"/>
    <n v="16776"/>
    <m/>
    <m/>
    <m/>
    <m/>
    <n v="29228"/>
    <m/>
    <m/>
    <m/>
    <m/>
    <m/>
  </r>
  <r>
    <s v="VEFA Maurice Lebon"/>
    <s v="St Joseph"/>
    <s v="CA SUD"/>
    <x v="5"/>
    <s v="PRLC 0163"/>
    <s v="FHO"/>
    <s v="VAF"/>
    <s v="Tvx"/>
    <m/>
    <m/>
    <m/>
    <m/>
    <s v="BARET/GILLOT"/>
    <m/>
    <n v="3038"/>
    <n v="690000"/>
    <n v="690000"/>
    <n v="12545.454545454546"/>
    <n v="227.12310730743911"/>
    <n v="227.12310730743911"/>
    <n v="213.33828030794916"/>
    <n v="12545.454545454546"/>
    <n v="55.236363636363635"/>
    <m/>
    <n v="1.0646148782093483"/>
    <s v="UB"/>
    <m/>
    <m/>
    <s v="LLTS"/>
    <n v="55"/>
    <m/>
    <n v="55"/>
    <m/>
    <m/>
    <n v="3218.48"/>
    <n v="3234.3"/>
    <n v="58.805454545454552"/>
    <m/>
    <n v="1"/>
    <m/>
    <m/>
    <m/>
    <m/>
    <n v="0"/>
    <n v="0"/>
    <n v="3"/>
    <s v="collectif"/>
    <m/>
    <s v="17/02/2014_x000a_09/10/14"/>
    <m/>
    <s v="OFOI"/>
    <s v="IONIQUE 5"/>
    <m/>
    <d v="2015-11-12T00:00:00"/>
    <m/>
    <d v="2016-10-06T00:00:00"/>
    <d v="2016-11-23T00:00:00"/>
    <d v="2016-11-24T00:00:00"/>
    <s v="ok"/>
    <d v="2016-12-15T00:00:00"/>
    <d v="2017-03-11T00:00:00"/>
    <d v="2016-12-23T00:00:00"/>
    <d v="2016-12-15T00:00:00"/>
    <d v="2018-12-15T00:00:00"/>
    <d v="2019-12-15T00:00:00"/>
    <s v="oui"/>
    <m/>
    <s v="CG 29/03/17_x000a_Région 28/06/17_x000a_CASUD 29/06/2017"/>
    <d v="2017-03-29T00:00:00"/>
    <d v="2017-04-25T00:00:00"/>
    <d v="2017-06-29T00:00:00"/>
    <d v="2017-06-29T00:00:00"/>
    <s v="BARET/GILLOT"/>
    <d v="2016-12-23T00:00:00"/>
    <s v="MAIL 03/04/17"/>
    <n v="6242199"/>
    <d v="2018-06-23T00:00:00"/>
    <d v="2018-12-23T00:00:00"/>
    <m/>
    <d v="2018-12-23T00:00:00"/>
    <n v="0.6"/>
    <m/>
    <d v="2017-02-01T00:00:00"/>
    <n v="2017"/>
    <n v="14.9"/>
    <n v="22"/>
    <n v="23"/>
    <n v="21"/>
    <n v="23"/>
    <e v="#NUM!"/>
    <n v="0"/>
    <m/>
    <n v="0"/>
    <m/>
    <d v="2018-12-01T00:00:00"/>
    <d v="2018-11-23T00:00:00"/>
    <d v="1901-12-31T00:00:00"/>
    <m/>
    <m/>
    <d v="2018-11-24T00:00:00"/>
    <d v="2019-01-10T00:00:00"/>
    <m/>
    <m/>
    <m/>
    <m/>
    <m/>
    <m/>
    <m/>
    <m/>
    <m/>
    <m/>
    <m/>
    <m/>
    <m/>
    <m/>
    <m/>
    <m/>
    <m/>
    <m/>
    <m/>
    <m/>
    <m/>
    <m/>
    <m/>
    <m/>
    <s v="0"/>
    <d v="2015-02-06T00:00:00"/>
    <d v="2014-12-09T00:00:00"/>
    <n v="-59"/>
    <m/>
    <m/>
    <s v="0"/>
    <m/>
    <m/>
    <s v="0"/>
    <m/>
    <m/>
    <s v="0"/>
    <m/>
    <m/>
    <m/>
    <s v="0"/>
    <d v="2017-01-06T00:00:00"/>
    <d v="2017-02-01T00:00:00"/>
    <n v="26"/>
    <d v="2017-03-30T00:00:00"/>
    <d v="2017-03-13T00:00:00"/>
    <n v="-17"/>
    <d v="2017-07-30T00:00:00"/>
    <d v="2017-06-09T00:00:00"/>
    <n v="-51"/>
    <m/>
    <d v="2017-09-18T00:00:00"/>
    <s v="0"/>
    <d v="2017-10-30T00:00:00"/>
    <d v="2018-03-04T00:00:00"/>
    <n v="125"/>
    <d v="2017-10-30T00:00:00"/>
    <d v="2018-03-04T00:00:00"/>
    <n v="125"/>
    <d v="2018-02-28T00:00:00"/>
    <d v="2018-03-04T00:00:00"/>
    <n v="4"/>
    <d v="2018-12-31T00:00:00"/>
    <d v="2018-12-31T00:00:00"/>
    <n v="0"/>
    <m/>
    <m/>
    <m/>
    <d v="2018-11-23T00:00:00"/>
    <d v="2018-11-23T00:00:00"/>
    <n v="22"/>
    <d v="2018-12-21T00:00:00"/>
    <d v="2019-01-10T00:00:00"/>
    <n v="0"/>
    <n v="0"/>
    <n v="0"/>
    <m/>
    <n v="-1.1000000000000001"/>
    <n v="0.66666666666666663"/>
    <s v="FHO"/>
    <m/>
    <m/>
    <m/>
    <m/>
    <m/>
    <n v="6578594.558091728"/>
    <n v="6893824"/>
    <m/>
    <n v="2141.9502373791356"/>
    <n v="125342.25454545455"/>
    <n v="5462235"/>
    <n v="5874333.7564800717"/>
    <n v="412098.75648007169"/>
    <n v="0.87000984727288555"/>
    <n v="0.39772600000000002"/>
    <n v="1733988.3513843757"/>
    <x v="43"/>
    <n v="35061.345454545452"/>
    <n v="194385.64861562429"/>
    <n v="3744606.2067073518"/>
    <x v="45"/>
    <n v="735184"/>
    <n v="3130266"/>
    <n v="120843.79329264816"/>
    <n v="70280.909090909088"/>
    <m/>
    <n v="1100000"/>
    <x v="37"/>
    <n v="0"/>
    <n v="0.15956311040142598"/>
    <m/>
    <x v="1"/>
    <n v="0"/>
    <n v="20000"/>
    <n v="55061.345454545452"/>
    <e v="#REF!"/>
    <n v="5.78"/>
    <n v="5.69"/>
    <n v="0"/>
    <n v="0"/>
    <n v="55061.345454545452"/>
    <n v="0"/>
    <n v="55061.345454545452"/>
    <n v="0.43928797718073453"/>
    <n v="0"/>
    <m/>
    <x v="2"/>
    <n v="6893824"/>
    <n v="234959.82488479264"/>
    <n v="176219.96313364056"/>
    <m/>
    <m/>
    <m/>
    <m/>
    <m/>
    <m/>
    <m/>
    <m/>
    <m/>
    <m/>
    <m/>
    <m/>
    <m/>
    <m/>
    <m/>
    <n v="129228"/>
    <d v="2017-04-03T00:00:00"/>
    <n v="23495.981566820275"/>
    <d v="2017-10-09T00:00:00"/>
    <n v="11747.990783410138"/>
    <d v="2017-11-08T00:00:00"/>
    <n v="11747.990783410138"/>
    <m/>
    <m/>
    <m/>
    <m/>
    <m/>
    <m/>
    <m/>
    <m/>
    <m/>
    <m/>
    <m/>
    <m/>
  </r>
  <r>
    <s v="CD 61 Rue Bertaut LLS"/>
    <s v="Tampon"/>
    <s v="CA SUD"/>
    <x v="5"/>
    <s v="PRLC 0173"/>
    <s v="FBR"/>
    <s v="SRI"/>
    <s v="Tvx"/>
    <m/>
    <m/>
    <s v="acheté 25/11/15_x000a_DA ER fait_x000a_convention de prise de possession anticipée reçue, à signer  / attention aux enrobés_x000a_OST à évacuer_x000a_AEP coupée_x000a_"/>
    <s v="Etat"/>
    <m/>
    <m/>
    <n v="8838"/>
    <n v="652080"/>
    <n v="652080"/>
    <n v="7326.7415730337079"/>
    <n v="73.78139850644942"/>
    <n v="73.78139850644942"/>
    <n v="335.48387096774195"/>
    <n v="32604"/>
    <n v="441.9"/>
    <m/>
    <n v="0.21992532247114732"/>
    <s v="UB"/>
    <n v="630"/>
    <n v="0"/>
    <s v="LLS"/>
    <n v="20"/>
    <n v="20"/>
    <m/>
    <m/>
    <m/>
    <n v="1853.17"/>
    <n v="1943.7"/>
    <n v="97.185000000000002"/>
    <m/>
    <m/>
    <m/>
    <n v="0.8"/>
    <n v="0.2"/>
    <m/>
    <n v="0"/>
    <n v="0"/>
    <n v="4"/>
    <s v="collectif"/>
    <s v="oui"/>
    <d v="2015-01-27T00:00:00"/>
    <m/>
    <s v="INGEPAR"/>
    <s v="LS 118"/>
    <m/>
    <d v="2015-12-16T00:00:00"/>
    <m/>
    <m/>
    <m/>
    <m/>
    <d v="2017-06-13T00:00:00"/>
    <d v="2017-07-13T00:00:00"/>
    <d v="2017-10-05T00:00:00"/>
    <d v="2017-07-27T00:00:00"/>
    <d v="2017-10-05T00:00:00"/>
    <d v="2019-10-05T00:00:00"/>
    <d v="2020-10-05T00:00:00"/>
    <s v="oui"/>
    <d v="2017-07-04T00:00:00"/>
    <s v="Mairie 04/12/17_x000a_CG 17/10/17"/>
    <d v="2017-10-17T00:00:00"/>
    <m/>
    <m/>
    <m/>
    <m/>
    <s v="Risques :_x000a_- faire lettres de non retenue pour VRD et GO_x000a_- EDD"/>
    <m/>
    <m/>
    <e v="#VALUE!"/>
    <e v="#VALUE!"/>
    <m/>
    <s v="SO"/>
    <m/>
    <m/>
    <d v="2018-01-29T00:00:00"/>
    <m/>
    <n v="25.833333333333332"/>
    <n v="21"/>
    <n v="22"/>
    <n v="21"/>
    <n v="21"/>
    <n v="0"/>
    <n v="-1"/>
    <m/>
    <n v="0"/>
    <m/>
    <d v="2019-10-29T00:00:00"/>
    <d v="2019-10-29T00:00:00"/>
    <d v="1901-12-31T00:00:00"/>
    <m/>
    <m/>
    <d v="2019-10-31T00:00:00"/>
    <d v="2019-11-08T00:00:00"/>
    <m/>
    <m/>
    <m/>
    <m/>
    <m/>
    <m/>
    <m/>
    <m/>
    <m/>
    <m/>
    <m/>
    <m/>
    <m/>
    <m/>
    <m/>
    <m/>
    <m/>
    <m/>
    <m/>
    <m/>
    <m/>
    <d v="2014-09-25T00:00:00"/>
    <d v="2014-10-09T00:00:00"/>
    <d v="2014-10-09T00:00:00"/>
    <n v="0"/>
    <d v="2014-12-26T00:00:00"/>
    <d v="2015-02-05T00:00:00"/>
    <n v="41"/>
    <d v="2015-01-16T00:00:00"/>
    <d v="2015-02-19T00:00:00"/>
    <n v="34"/>
    <d v="2015-04-06T00:00:00"/>
    <d v="2015-05-12T00:00:00"/>
    <n v="36"/>
    <d v="2015-06-22T00:00:00"/>
    <d v="2015-09-07T00:00:00"/>
    <n v="77"/>
    <d v="2016-05-24T00:00:00"/>
    <d v="2017-11-03T00:00:00"/>
    <d v="2017-12-19T00:00:00"/>
    <n v="46"/>
    <d v="2018-01-15T00:00:00"/>
    <d v="2018-01-29T00:00:00"/>
    <n v="14"/>
    <m/>
    <d v="2018-03-04T00:00:00"/>
    <s v="0"/>
    <m/>
    <d v="2018-03-04T00:00:00"/>
    <s v="0"/>
    <m/>
    <d v="2018-03-04T00:00:00"/>
    <s v="0"/>
    <m/>
    <d v="2018-03-04T00:00:00"/>
    <s v="0"/>
    <m/>
    <m/>
    <s v="0"/>
    <m/>
    <m/>
    <s v="0"/>
    <m/>
    <m/>
    <s v="0"/>
    <m/>
    <m/>
    <m/>
    <d v="2019-10-29T00:00:00"/>
    <d v="2019-10-29T00:00:00"/>
    <n v="21.266666666666666"/>
    <d v="2019-11-08T00:00:00"/>
    <d v="2019-11-08T00:00:00"/>
    <m/>
    <m/>
    <n v="475800"/>
    <m/>
    <n v="8.2666666666666675"/>
    <n v="0"/>
    <s v="JMO / FBR"/>
    <s v="Lot désamiantage"/>
    <s v="résilier SIB (perte agrément) / se positionner sur demande de DLC_x000a_pas de nouvelles de l'AMO déchets : faire une MD huissier_x000a_courrier refus offre technique DLC à envoyer_x000a_O'SUD Peinture pas à jour attestation fiscale"/>
    <m/>
    <m/>
    <m/>
    <n v="3620927.386608588"/>
    <n v="3410337.9396867752"/>
    <n v="-210589.44692181284"/>
    <n v="1953.9099956337454"/>
    <n v="181046.36933042941"/>
    <n v="3320758.5701554646"/>
    <n v="3416358.2225748161"/>
    <n v="95599.652419351507"/>
    <n v="1.0228023752887239"/>
    <n v="0.39"/>
    <n v="1232699.6352114086"/>
    <x v="44"/>
    <n v="61634.98176057043"/>
    <n v="-118560.69552463363"/>
    <n v="2188227.7513971794"/>
    <x v="46"/>
    <n v="309940"/>
    <n v="1756741"/>
    <n v="-121546.75139717944"/>
    <n v="109411.38756985897"/>
    <m/>
    <n v="200000"/>
    <x v="38"/>
    <m/>
    <n v="5.5234468589364018E-2"/>
    <m/>
    <x v="17"/>
    <n v="0"/>
    <n v="10000"/>
    <n v="71634.98176057043"/>
    <n v="0"/>
    <n v="6.32"/>
    <n v="5.48"/>
    <n v="0"/>
    <n v="0"/>
    <n v="65706.946984338749"/>
    <n v="0"/>
    <n v="65706.946984338749"/>
    <n v="0.38533980002212714"/>
    <n v="0"/>
    <m/>
    <x v="2"/>
    <n v="3410337.9396867752"/>
    <n v="685491"/>
    <n v="411294"/>
    <d v="2014-10-24T00:00:00"/>
    <n v="67842"/>
    <m/>
    <m/>
    <d v="2014-12-19T00:00:00"/>
    <n v="33921"/>
    <d v="2015-03-02T00:00:00"/>
    <n v="72217"/>
    <d v="2015-04-27T00:00:00"/>
    <n v="65293"/>
    <m/>
    <n v="103472"/>
    <m/>
    <m/>
    <m/>
    <m/>
    <d v="2017-12-14T00:00:00"/>
    <n v="68549"/>
    <m/>
    <m/>
    <m/>
    <m/>
    <m/>
    <m/>
    <m/>
    <m/>
    <m/>
    <m/>
    <n v="72217"/>
    <m/>
    <m/>
    <m/>
    <m/>
    <m/>
  </r>
  <r>
    <s v="CD 61 Rue Bertaut LLTS"/>
    <s v="Tampon"/>
    <s v="CA SUD"/>
    <x v="6"/>
    <s v="PRLC 0173"/>
    <s v="FBR"/>
    <m/>
    <m/>
    <m/>
    <m/>
    <s v="acheté 25/11/15_x000a_DA ER fait_x000a_convention de prise de possession anticipée reçue, à signer  / attention aux enrobés_x000a_OST à évacuer_x000a_AEP coupée_x000a_"/>
    <s v="Etat"/>
    <s v="MAREL"/>
    <m/>
    <n v="8838"/>
    <n v="652080"/>
    <n v="652080"/>
    <n v="7326.7415730337079"/>
    <n v="73.78139850644942"/>
    <n v="73.78139850644942"/>
    <n v="130.36333321338179"/>
    <n v="9450.434782608696"/>
    <n v="128.08695652173913"/>
    <m/>
    <n v="0.56596741344195522"/>
    <s v="UB"/>
    <n v="630"/>
    <n v="0"/>
    <s v="LLTS"/>
    <n v="69"/>
    <m/>
    <n v="69"/>
    <m/>
    <m/>
    <n v="4692.6549999999988"/>
    <n v="5002.0200000000004"/>
    <n v="72.493043478260873"/>
    <n v="0.17391304347826086"/>
    <n v="0.42028985507246375"/>
    <n v="0.40579710144927539"/>
    <n v="0"/>
    <n v="0"/>
    <m/>
    <n v="0"/>
    <n v="0"/>
    <n v="4"/>
    <s v="collectif"/>
    <s v="oui"/>
    <d v="2015-01-27T00:00:00"/>
    <d v="2016-04-15T00:00:00"/>
    <s v="INGEPAR"/>
    <s v="LS 118"/>
    <m/>
    <d v="2016-04-02T00:00:00"/>
    <m/>
    <m/>
    <m/>
    <m/>
    <d v="2017-06-13T00:00:00"/>
    <d v="2017-07-13T00:00:00"/>
    <d v="2017-10-05T00:00:00"/>
    <d v="2017-07-27T00:00:00"/>
    <d v="2017-10-05T00:00:00"/>
    <d v="2019-10-05T00:00:00"/>
    <d v="2020-10-05T00:00:00"/>
    <s v="oui"/>
    <d v="2017-07-04T00:00:00"/>
    <s v="Mairie 09/10/17_x000a_CG 17/10/17"/>
    <d v="2017-10-17T00:00:00"/>
    <m/>
    <m/>
    <m/>
    <s v="LE GOFF"/>
    <m/>
    <m/>
    <m/>
    <d v="1901-06-30T00:00:00"/>
    <m/>
    <m/>
    <s v="SO"/>
    <m/>
    <m/>
    <d v="2018-01-29T00:00:00"/>
    <m/>
    <n v="22.233333333333334"/>
    <n v="21"/>
    <n v="22"/>
    <n v="21"/>
    <n v="21"/>
    <n v="0"/>
    <n v="-1"/>
    <m/>
    <n v="0"/>
    <m/>
    <d v="2019-10-29T00:00:00"/>
    <d v="2019-10-29T00:00:00"/>
    <d v="1901-12-31T00:00:00"/>
    <m/>
    <m/>
    <d v="2019-10-31T00:00:00"/>
    <d v="2019-11-08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19-10-29T00:00:00"/>
    <n v="0"/>
    <m/>
    <d v="2019-11-08T00:00:00"/>
    <m/>
    <m/>
    <m/>
    <m/>
    <n v="0"/>
    <m/>
    <m/>
    <m/>
    <m/>
    <m/>
    <m/>
    <m/>
    <n v="9081495.0373618677"/>
    <n v="9081495.0373618677"/>
    <n v="0"/>
    <n v="1935.2573409640961"/>
    <n v="131615.87010669374"/>
    <n v="8791836.2692203913"/>
    <n v="8791836.2692203913"/>
    <n v="0"/>
    <n v="0.98843470088837271"/>
    <n v="0.39500000000000002"/>
    <n v="2943213.0373618677"/>
    <x v="45"/>
    <n v="42655.26141104156"/>
    <n v="0"/>
    <n v="5336445"/>
    <x v="47"/>
    <n v="746372"/>
    <n v="4590073"/>
    <n v="0"/>
    <n v="77339.782608695648"/>
    <m/>
    <n v="700000"/>
    <x v="39"/>
    <m/>
    <n v="7.7079819690497431E-2"/>
    <m/>
    <x v="18"/>
    <n v="0"/>
    <n v="10144.927536231884"/>
    <n v="52800.188947273447"/>
    <n v="0"/>
    <n v="5.51"/>
    <n v="5.48"/>
    <n v="0"/>
    <n v="0"/>
    <n v="52800.188947273447"/>
    <n v="0"/>
    <n v="52800.188947273447"/>
    <n v="0.4011688628770318"/>
    <n v="0"/>
    <m/>
    <x v="2"/>
    <n v="9081495.0373618677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Paule &amp; Gaston"/>
    <s v="Avirons"/>
    <s v="CIVIS"/>
    <x v="6"/>
    <s v="PRLC 0191"/>
    <s v="ADE"/>
    <s v="DBE"/>
    <s v="Tvx"/>
    <m/>
    <m/>
    <m/>
    <m/>
    <m/>
    <m/>
    <n v="807"/>
    <n v="250272"/>
    <n v="250272"/>
    <n v="10881.391304347826"/>
    <n v="310.12639405204459"/>
    <n v="310.12639405204459"/>
    <n v="162.92583213441748"/>
    <n v="10881.391304347826"/>
    <n v="35.086956521739133"/>
    <m/>
    <n v="1.9034820322180916"/>
    <m/>
    <m/>
    <m/>
    <s v="LLTS"/>
    <n v="23"/>
    <m/>
    <n v="23"/>
    <m/>
    <m/>
    <n v="1536.11"/>
    <n v="1536.11"/>
    <n v="66.787391304347821"/>
    <m/>
    <m/>
    <m/>
    <m/>
    <m/>
    <m/>
    <m/>
    <m/>
    <m/>
    <s v="collectif"/>
    <m/>
    <m/>
    <m/>
    <s v="OFOI"/>
    <s v="LOGIS 10"/>
    <m/>
    <d v="2016-06-22T00:00:00"/>
    <m/>
    <d v="2016-07-06T00:00:00"/>
    <d v="2016-08-24T00:00:00"/>
    <s v="ok"/>
    <m/>
    <d v="2016-12-07T00:00:00"/>
    <d v="2016-12-07T00:00:00"/>
    <d v="2016-10-11T00:00:00"/>
    <d v="2016-12-07T00:00:00"/>
    <m/>
    <m/>
    <m/>
    <m/>
    <s v="ok_x000a_Région 19/06/17"/>
    <s v="ok"/>
    <s v="ok"/>
    <s v="ok"/>
    <d v="2017-07-06T00:00:00"/>
    <m/>
    <d v="2016-12-23T00:00:00"/>
    <s v="ok"/>
    <n v="2912750"/>
    <m/>
    <d v="2018-12-23T00:00:00"/>
    <d v="2016-12-23T00:00:00"/>
    <d v="2018-10-23T00:00:00"/>
    <n v="-5.9666666666666668"/>
    <m/>
    <d v="2016-08-01T00:00:00"/>
    <n v="2016"/>
    <n v="1.3333333333333333"/>
    <n v="18"/>
    <n v="19"/>
    <n v="20"/>
    <n v="20"/>
    <n v="2"/>
    <n v="1"/>
    <n v="8529"/>
    <n v="17058"/>
    <d v="2017-10-16T00:00:00"/>
    <d v="2018-02-01T00:00:00"/>
    <d v="2018-04-13T00:00:00"/>
    <d v="2018-12-23T00:00:00"/>
    <m/>
    <m/>
    <d v="2018-04-27T00:00:00"/>
    <d v="2018-04-27T00:00:00"/>
    <m/>
    <d v="2018-03-01T00:00:00"/>
    <m/>
    <m/>
    <m/>
    <m/>
    <m/>
    <m/>
    <m/>
    <m/>
    <m/>
    <m/>
    <m/>
    <m/>
    <m/>
    <m/>
    <m/>
    <m/>
    <m/>
    <m/>
    <m/>
    <m/>
    <m/>
    <m/>
    <s v="0"/>
    <d v="2015-02-06T00:00:00"/>
    <d v="2015-02-06T00:00:00"/>
    <n v="0"/>
    <m/>
    <m/>
    <s v="0"/>
    <m/>
    <m/>
    <s v="0"/>
    <m/>
    <m/>
    <s v="0"/>
    <m/>
    <m/>
    <m/>
    <s v="0"/>
    <d v="2017-01-06T00:00:00"/>
    <d v="2016-08-01T00:00:00"/>
    <n v="-158"/>
    <m/>
    <m/>
    <s v="0"/>
    <d v="2016-12-08T00:00:00"/>
    <d v="2016-12-08T00:00:00"/>
    <n v="0"/>
    <m/>
    <d v="2017-09-16T00:00:00"/>
    <s v="0"/>
    <m/>
    <d v="2017-10-16T00:00:00"/>
    <s v="0"/>
    <d v="2017-07-30T00:00:00"/>
    <d v="2017-11-14T00:00:00"/>
    <n v="107"/>
    <d v="2017-08-30T00:00:00"/>
    <d v="2017-11-14T00:00:00"/>
    <n v="76"/>
    <d v="2018-03-30T00:00:00"/>
    <m/>
    <s v="0"/>
    <d v="2018-04-13T00:00:00"/>
    <d v="2018-04-13T00:00:00"/>
    <d v="2018-04-13T00:00:00"/>
    <d v="2018-04-13T00:00:00"/>
    <d v="2018-04-13T00:00:00"/>
    <n v="20.666666666666668"/>
    <d v="2018-04-27T00:00:00"/>
    <d v="2018-04-27T00:00:00"/>
    <n v="0"/>
    <n v="0"/>
    <n v="0"/>
    <m/>
    <n v="-5.2666666666666666"/>
    <n v="0"/>
    <s v="MFL / ADE"/>
    <m/>
    <s v="réception des communs en fév 2018"/>
    <m/>
    <m/>
    <m/>
    <n v="0"/>
    <n v="3202767"/>
    <n v="3202767"/>
    <n v="0"/>
    <n v="0"/>
    <n v="3537549.5398594467"/>
    <n v="3653732"/>
    <n v="116182.4601405533"/>
    <n v="1.1647617113577102"/>
    <n v="0.4"/>
    <m/>
    <x v="46"/>
    <n v="0"/>
    <m/>
    <m/>
    <x v="48"/>
    <n v="296327"/>
    <n v="1475749"/>
    <n v="1772076"/>
    <n v="0"/>
    <m/>
    <m/>
    <x v="40"/>
    <m/>
    <e v="#DIV/0!"/>
    <m/>
    <x v="0"/>
    <n v="529000"/>
    <n v="0"/>
    <n v="0"/>
    <n v="23000"/>
    <m/>
    <m/>
    <m/>
    <m/>
    <n v="0"/>
    <m/>
    <n v="62203.956521739128"/>
    <e v="#DIV/0!"/>
    <m/>
    <m/>
    <x v="8"/>
    <n v="3202767"/>
    <n v="101410.59907834102"/>
    <n v="91269.548387096773"/>
    <m/>
    <m/>
    <m/>
    <m/>
    <m/>
    <m/>
    <m/>
    <m/>
    <m/>
    <m/>
    <m/>
    <m/>
    <m/>
    <m/>
    <m/>
    <m/>
    <m/>
    <m/>
    <d v="2016-12-23T00:00:00"/>
    <n v="65916.894009216587"/>
    <d v="2017-05-10T00:00:00"/>
    <n v="10141.0599078341"/>
    <d v="2017-10-19T00:00:00"/>
    <n v="5070.5345622119812"/>
    <m/>
    <m/>
    <d v="2017-11-16T00:00:00"/>
    <n v="10141.0599078341"/>
    <m/>
    <m/>
    <m/>
    <m/>
    <m/>
    <m/>
  </r>
  <r>
    <s v="FAHAM (Ilôt 5.6)"/>
    <s v="Etang-Salé"/>
    <s v="CIVIS"/>
    <x v="6"/>
    <s v="PRLC 0156"/>
    <s v="ADE"/>
    <s v="MMA"/>
    <s v="Tvx"/>
    <s v="oui"/>
    <m/>
    <m/>
    <s v="SODEGIS"/>
    <s v="QUINOT"/>
    <m/>
    <n v="3126"/>
    <n v="268450"/>
    <n v="268450"/>
    <n v="8948.3333333333339"/>
    <n v="85.876519513755596"/>
    <n v="85.876519513755596"/>
    <n v="100.22812211813815"/>
    <n v="8948.3333333333339"/>
    <n v="104.2"/>
    <n v="1264.3499999999999"/>
    <n v="0.85681062060140756"/>
    <m/>
    <n v="100"/>
    <m/>
    <s v="LLS"/>
    <n v="30"/>
    <n v="30"/>
    <m/>
    <m/>
    <m/>
    <n v="2596.9"/>
    <n v="2678.39"/>
    <n v="89.279666666666657"/>
    <n v="0"/>
    <n v="0"/>
    <n v="0.53333333333333333"/>
    <n v="0.4"/>
    <n v="6.6666666666666666E-2"/>
    <m/>
    <n v="0"/>
    <n v="0"/>
    <n v="3"/>
    <s v="collectif"/>
    <s v="oui"/>
    <d v="2014-01-28T00:00:00"/>
    <d v="2014-05-28T00:00:00"/>
    <s v="INGEPAR"/>
    <s v="LS 97"/>
    <s v="SO"/>
    <d v="2016-08-19T00:00:00"/>
    <d v="2016-09-13T00:00:00"/>
    <s v="19/06/2014_x000a_18/11/15"/>
    <s v="30/06/2014_x000a_09/09/16"/>
    <d v="2016-09-14T00:00:00"/>
    <d v="2014-10-20T00:00:00"/>
    <d v="2015-01-23T00:00:00"/>
    <d v="2015-04-23T00:00:00"/>
    <d v="2015-03-11T00:00:00"/>
    <d v="2015-01-23T00:00:00"/>
    <d v="2018-01-23T00:00:00"/>
    <d v="2019-01-23T00:00:00"/>
    <s v="non"/>
    <s v="ok"/>
    <s v="CIVIS 25/05/15_x000a_Région 12/06/15_x000a_Commune 29/06/15_x000a_CG 30/06/15"/>
    <s v="conv° réserv° 17/09/15_x000a_G 09/11/15"/>
    <m/>
    <m/>
    <m/>
    <s v="LE GOFF"/>
    <d v="2016-12-15T00:00:00"/>
    <s v="MAIL 03/04/17"/>
    <n v="4997938.95"/>
    <d v="2018-06-15T00:00:00"/>
    <d v="2018-12-15T00:00:00"/>
    <d v="2017-07-18T00:00:00"/>
    <d v="2018-05-15T00:00:00"/>
    <n v="2.0666666666666669"/>
    <m/>
    <d v="2017-02-14T00:00:00"/>
    <n v="2017"/>
    <n v="5.9666666666666668"/>
    <n v="16"/>
    <n v="17"/>
    <n v="16"/>
    <n v="17"/>
    <n v="0"/>
    <n v="0"/>
    <n v="17443.573511919167"/>
    <n v="0"/>
    <d v="2017-06-01T00:00:00"/>
    <d v="2018-06-14T00:00:00"/>
    <d v="2018-06-14T00:00:00"/>
    <d v="2019-07-18T00:00:00"/>
    <m/>
    <m/>
    <d v="2018-06-29T00:00:00"/>
    <d v="2018-07-16T00:00:00"/>
    <m/>
    <m/>
    <m/>
    <m/>
    <m/>
    <m/>
    <m/>
    <m/>
    <m/>
    <m/>
    <m/>
    <m/>
    <m/>
    <m/>
    <m/>
    <m/>
    <m/>
    <m/>
    <m/>
    <m/>
    <m/>
    <d v="2013-10-01T00:00:00"/>
    <d v="2013-10-02T00:00:00"/>
    <d v="2013-10-17T00:00:00"/>
    <n v="15"/>
    <d v="2014-02-09T00:00:00"/>
    <d v="2014-02-04T00:00:00"/>
    <n v="-5"/>
    <d v="2014-02-09T00:00:00"/>
    <d v="2014-02-27T00:00:00"/>
    <n v="18"/>
    <d v="2014-04-24T00:00:00"/>
    <d v="2014-07-04T00:00:00"/>
    <n v="71"/>
    <d v="2014-08-29T00:00:00"/>
    <d v="2014-10-08T00:00:00"/>
    <n v="40"/>
    <d v="2015-02-20T00:00:00"/>
    <d v="2015-06-22T00:00:00"/>
    <d v="2017-02-14T00:00:00"/>
    <n v="603"/>
    <d v="2017-02-15T00:00:00"/>
    <d v="2017-02-15T00:00:00"/>
    <n v="0"/>
    <d v="2017-04-19T00:00:00"/>
    <d v="2017-04-19T00:00:00"/>
    <n v="0"/>
    <d v="2017-06-30T00:00:00"/>
    <d v="2017-07-20T00:00:00"/>
    <n v="20"/>
    <d v="2018-01-24T00:00:00"/>
    <d v="2017-12-15T00:00:00"/>
    <n v="-40"/>
    <d v="2018-03-23T00:00:00"/>
    <d v="2018-03-23T00:00:00"/>
    <n v="0"/>
    <d v="2018-03-02T00:00:00"/>
    <m/>
    <s v="0"/>
    <d v="2018-03-21T00:00:00"/>
    <m/>
    <s v="0"/>
    <d v="2018-04-06T00:00:00"/>
    <m/>
    <s v="0"/>
    <d v="2018-04-18T00:00:00"/>
    <d v="2018-04-19T00:00:00"/>
    <d v="2018-04-30T00:00:00"/>
    <d v="2018-06-15T00:00:00"/>
    <d v="2018-06-14T00:00:00"/>
    <n v="16.166666666666668"/>
    <d v="2018-07-03T00:00:00"/>
    <d v="2018-07-16T00:00:00"/>
    <n v="0"/>
    <n v="0"/>
    <n v="310011"/>
    <m/>
    <n v="24.733333333333334"/>
    <n v="0.43333333333333335"/>
    <s v="JDC / NBL / MFL / ADE"/>
    <s v="Lot Men Ext_x000a_soit 1 sur 16 lots_x000a_4 RO"/>
    <s v="avancement SMOI_x000a_logement témoin semaine du 19/02"/>
    <s v="problématique foncière non anticipée et propre à la vente en VEFA défisc_x000a_changements de RO"/>
    <m/>
    <m/>
    <n v="5088523.3381183296"/>
    <n v="5227844.2"/>
    <n v="139320.86188167054"/>
    <n v="2013.1095536986406"/>
    <n v="174261.47333333333"/>
    <n v="4413122.1526051881"/>
    <n v="4142334"/>
    <n v="-270788.15260518808"/>
    <n v="0.80899943689982179"/>
    <m/>
    <n v="1541342.2781183291"/>
    <x v="47"/>
    <n v="54631.871333333329"/>
    <n v="97613.861881670775"/>
    <n v="3296474.06"/>
    <x v="49"/>
    <n v="618601"/>
    <n v="2677873.06"/>
    <n v="0"/>
    <n v="109882.46866666667"/>
    <n v="0"/>
    <n v="250707"/>
    <x v="41"/>
    <n v="0"/>
    <n v="5.3559362002410092E-2"/>
    <m/>
    <x v="19"/>
    <n v="29293"/>
    <n v="9333.3333333333339"/>
    <n v="63965.204666666665"/>
    <n v="976.43333333333328"/>
    <n v="6.39"/>
    <n v="5.75"/>
    <n v="0"/>
    <n v="0"/>
    <n v="63965.204666666665"/>
    <n v="0"/>
    <n v="63965.204666666665"/>
    <n v="0.37905933929335955"/>
    <n v="165428"/>
    <m/>
    <x v="2"/>
    <n v="5227844.2"/>
    <n v="265886"/>
    <n v="207553"/>
    <m/>
    <n v="24456"/>
    <m/>
    <m/>
    <d v="2014-02-27T00:00:00"/>
    <n v="12815"/>
    <d v="2014-02-06T00:00:00"/>
    <n v="26808"/>
    <d v="2014-06-25T00:00:00"/>
    <n v="27980"/>
    <n v="41942"/>
    <n v="39455"/>
    <m/>
    <m/>
    <s v="avec OS"/>
    <m/>
    <d v="2016-12-22T00:00:00"/>
    <n v="41091"/>
    <d v="2017-07-13T00:00:00"/>
    <n v="12636"/>
    <d v="2017-09-28T00:00:00"/>
    <n v="12634"/>
    <d v="2017-12-11T00:00:00"/>
    <n v="9678"/>
    <m/>
    <m/>
    <m/>
    <m/>
    <n v="26808"/>
    <m/>
    <m/>
    <m/>
    <m/>
    <m/>
  </r>
  <r>
    <s v="Les Platanes "/>
    <s v="Petite-Ile"/>
    <s v="CIVIS"/>
    <x v="6"/>
    <s v="PRLC 0179"/>
    <s v="FHO"/>
    <s v="EGI"/>
    <s v="AO"/>
    <m/>
    <s v="AH 449 à 451"/>
    <s v="une promesse d'échange Commune / Evêché sera signée : conditionne l'accès - DA doit être publié pour pouvoir faire l'échange - demander à la commune de récupérer l'emprise des voies dès que possible / il faut une délibération CM - travaux à démarrer en février 2018_x000a_EPFR a acheté le terrain 07/11/17_x000a__x000a__x000a_"/>
    <m/>
    <m/>
    <m/>
    <n v="5130"/>
    <n v="425624"/>
    <n v="271768"/>
    <n v="15200.857142857143"/>
    <n v="82.967641325536064"/>
    <n v="52.976218323586743"/>
    <n v="144.10749415389185"/>
    <n v="9706"/>
    <n v="183.21428571428572"/>
    <m/>
    <n v="0.36761598440545806"/>
    <s v="NAU"/>
    <n v="675"/>
    <m/>
    <s v="LLTS"/>
    <n v="28"/>
    <m/>
    <n v="28"/>
    <m/>
    <m/>
    <n v="1812.35"/>
    <n v="1885.87"/>
    <n v="67.352499999999992"/>
    <n v="0.14285714285714285"/>
    <n v="0.25"/>
    <n v="0.35714285714285715"/>
    <n v="0.25"/>
    <m/>
    <m/>
    <m/>
    <m/>
    <n v="2.5"/>
    <s v="collectif"/>
    <m/>
    <d v="2016-04-28T00:00:00"/>
    <d v="2016-04-15T00:00:00"/>
    <m/>
    <m/>
    <m/>
    <d v="2016-08-22T00:00:00"/>
    <d v="2016-10-03T00:00:00"/>
    <m/>
    <m/>
    <m/>
    <d v="2017-05-22T00:00:00"/>
    <d v="2017-07-13T00:00:00"/>
    <d v="2017-10-05T00:00:00"/>
    <d v="2017-07-26T00:00:00"/>
    <d v="2017-10-05T00:00:00"/>
    <d v="2019-10-05T00:00:00"/>
    <d v="2020-10-05T00:00:00"/>
    <s v="non"/>
    <d v="2017-07-04T00:00:00"/>
    <s v="Mairie 09/10/17_x000a_CG 17/10/17"/>
    <d v="2017-10-18T00:00:00"/>
    <m/>
    <m/>
    <m/>
    <m/>
    <m/>
    <m/>
    <m/>
    <d v="1901-06-30T00:00:00"/>
    <m/>
    <m/>
    <s v="SO"/>
    <m/>
    <m/>
    <d v="2018-03-05T00:00:00"/>
    <m/>
    <n v="18.666666666666668"/>
    <n v="16"/>
    <n v="17"/>
    <n v="16"/>
    <n v="17"/>
    <n v="0"/>
    <n v="0"/>
    <m/>
    <n v="0"/>
    <m/>
    <d v="2019-07-05T00:00:00"/>
    <d v="2019-07-05T00:00:00"/>
    <d v="1901-12-31T00:00:00"/>
    <m/>
    <m/>
    <d v="2019-08-05T00:00:00"/>
    <d v="2019-08-05T00:00:00"/>
    <m/>
    <m/>
    <m/>
    <m/>
    <m/>
    <m/>
    <m/>
    <m/>
    <m/>
    <m/>
    <m/>
    <m/>
    <m/>
    <m/>
    <m/>
    <m/>
    <m/>
    <m/>
    <m/>
    <m/>
    <m/>
    <d v="2015-11-19T00:00:00"/>
    <d v="2015-12-15T00:00:00"/>
    <d v="2015-11-19T00:00:00"/>
    <n v="-26"/>
    <d v="2016-02-12T00:00:00"/>
    <d v="2016-02-12T00:00:00"/>
    <n v="0"/>
    <d v="2016-03-07T00:00:00"/>
    <d v="2016-03-10T00:00:00"/>
    <n v="3"/>
    <d v="2016-04-12T00:00:00"/>
    <d v="2016-09-20T00:00:00"/>
    <n v="161"/>
    <d v="2016-11-18T00:00:00"/>
    <d v="2017-04-20T00:00:00"/>
    <n v="153"/>
    <d v="2017-12-05T00:00:00"/>
    <d v="2018-02-06T00:00:00"/>
    <d v="2018-03-04T00:00:00"/>
    <n v="26"/>
    <d v="2018-02-21T00:00:00"/>
    <d v="2018-03-04T00:00:00"/>
    <n v="11"/>
    <m/>
    <d v="2018-03-04T00:00:00"/>
    <s v="0"/>
    <m/>
    <d v="2018-03-04T00:00:00"/>
    <s v="0"/>
    <m/>
    <d v="2018-03-04T00:00:00"/>
    <s v="0"/>
    <m/>
    <d v="2018-03-04T00:00:00"/>
    <s v="0"/>
    <m/>
    <m/>
    <s v="0"/>
    <m/>
    <m/>
    <s v="0"/>
    <m/>
    <m/>
    <s v="0"/>
    <m/>
    <m/>
    <m/>
    <d v="2019-08-15T00:00:00"/>
    <d v="2019-07-05T00:00:00"/>
    <n v="18"/>
    <d v="2019-09-13T00:00:00"/>
    <d v="2019-08-05T00:00:00"/>
    <n v="28875"/>
    <n v="28875"/>
    <m/>
    <m/>
    <n v="10.933333333333334"/>
    <n v="-1.3"/>
    <m/>
    <m/>
    <s v="purge délai recours en cours"/>
    <m/>
    <m/>
    <m/>
    <n v="3901188"/>
    <n v="4025529"/>
    <n v="124341"/>
    <n v="2221.1653378210613"/>
    <n v="143768.89285714287"/>
    <n v="3532430.6948800003"/>
    <n v="3790547.2600000002"/>
    <n v="258116.56511999993"/>
    <n v="0.96140128476530662"/>
    <n v="0.4"/>
    <n v="1168119"/>
    <x v="48"/>
    <n v="45140.964285714283"/>
    <n v="95828"/>
    <n v="2077069"/>
    <x v="50"/>
    <n v="405627"/>
    <n v="1699955"/>
    <n v="28513"/>
    <n v="75199.357142857145"/>
    <m/>
    <n v="656000"/>
    <x v="42"/>
    <m/>
    <n v="0.16295994886634776"/>
    <m/>
    <x v="0"/>
    <n v="0"/>
    <n v="23428.571428571428"/>
    <n v="68569.53571428571"/>
    <n v="0"/>
    <n v="5.54"/>
    <m/>
    <n v="878080.00034999999"/>
    <n v="560000"/>
    <n v="85147.107142857145"/>
    <n v="84831.933350000065"/>
    <n v="91599.247619642862"/>
    <n v="0.53838599033842116"/>
    <n v="193430"/>
    <m/>
    <x v="8"/>
    <n v="4779268.0003500003"/>
    <n v="195171"/>
    <n v="107344"/>
    <d v="2015-11-25T00:00:00"/>
    <n v="23317"/>
    <m/>
    <m/>
    <m/>
    <m/>
    <d v="2016-02-29T00:00:00"/>
    <n v="23306"/>
    <d v="2016-10-14T00:00:00"/>
    <n v="23065"/>
    <s v="23/12/2016_x000a_21/02/17"/>
    <n v="29869"/>
    <m/>
    <m/>
    <d v="2017-12-21T00:00:00"/>
    <n v="7787"/>
    <m/>
    <m/>
    <m/>
    <m/>
    <m/>
    <m/>
    <m/>
    <m/>
    <m/>
    <m/>
    <m/>
    <m/>
    <n v="23306"/>
    <m/>
    <m/>
    <m/>
    <m/>
    <m/>
  </r>
  <r>
    <s v="Hortensias "/>
    <s v="Tampon"/>
    <s v="CA SUD"/>
    <x v="6"/>
    <s v="PRLC 0178"/>
    <s v="APU"/>
    <s v="DBE"/>
    <s v="DCE"/>
    <m/>
    <s v="BX 855"/>
    <s v="coordonnées des propriétaires limitrophes transmis à APU_x000a_courriers faits par BJE aux riverains pour une rencontre"/>
    <m/>
    <m/>
    <m/>
    <n v="785"/>
    <n v="550000"/>
    <n v="550000"/>
    <n v="25000"/>
    <n v="700.63694267515928"/>
    <n v="700.63694267515928"/>
    <n v="325.66153700403231"/>
    <n v="25000"/>
    <n v="35.68181818181818"/>
    <m/>
    <n v="2.1514267515923566"/>
    <s v="UAa"/>
    <n v="500"/>
    <m/>
    <s v="LLTS"/>
    <n v="22"/>
    <m/>
    <n v="22"/>
    <m/>
    <m/>
    <m/>
    <n v="1688.87"/>
    <n v="1746"/>
    <m/>
    <n v="0.45454545454545453"/>
    <n v="0.27272727272727271"/>
    <n v="0.22727272727272727"/>
    <n v="4.5454545454545456E-2"/>
    <m/>
    <n v="0"/>
    <n v="0"/>
    <n v="7"/>
    <s v="collectif"/>
    <s v="oui"/>
    <d v="2016-01-27T00:00:00"/>
    <d v="2016-04-15T00:00:00"/>
    <m/>
    <m/>
    <m/>
    <d v="2016-08-24T00:00:00"/>
    <d v="2016-10-03T00:00:00"/>
    <s v="SO"/>
    <s v="SO"/>
    <s v="SO"/>
    <m/>
    <m/>
    <m/>
    <m/>
    <m/>
    <d v="1901-12-31T00:00:00"/>
    <d v="1902-12-31T00:00:00"/>
    <m/>
    <m/>
    <m/>
    <m/>
    <m/>
    <m/>
    <m/>
    <m/>
    <m/>
    <m/>
    <m/>
    <d v="1901-06-30T00:00:00"/>
    <m/>
    <m/>
    <s v="SO"/>
    <m/>
    <m/>
    <d v="2018-06-13T00:00:00"/>
    <m/>
    <n v="21.933333333333334"/>
    <n v="16"/>
    <n v="17"/>
    <n v="16"/>
    <n v="17"/>
    <n v="0"/>
    <n v="0"/>
    <m/>
    <n v="0"/>
    <m/>
    <d v="2019-10-13T00:00:00"/>
    <d v="2019-10-13T00:00:00"/>
    <d v="1901-12-31T00:00:00"/>
    <m/>
    <m/>
    <d v="2019-11-13T00:00:00"/>
    <d v="2019-11-13T00:00:00"/>
    <m/>
    <m/>
    <m/>
    <m/>
    <m/>
    <m/>
    <m/>
    <m/>
    <m/>
    <m/>
    <m/>
    <m/>
    <m/>
    <m/>
    <m/>
    <m/>
    <m/>
    <m/>
    <m/>
    <m/>
    <m/>
    <d v="2015-11-23T00:00:00"/>
    <d v="2015-12-15T00:00:00"/>
    <d v="2015-11-18T00:00:00"/>
    <n v="-27"/>
    <d v="2016-02-15T00:00:00"/>
    <d v="2016-02-15T00:00:00"/>
    <n v="0"/>
    <d v="2016-03-15T00:00:00"/>
    <d v="2016-08-16T00:00:00"/>
    <n v="154"/>
    <d v="2017-01-13T00:00:00"/>
    <d v="2017-02-06T00:00:00"/>
    <n v="24"/>
    <d v="2017-03-14T00:00:00"/>
    <d v="2018-02-18T00:00:00"/>
    <n v="341"/>
    <m/>
    <d v="2018-03-30T00:00:00"/>
    <d v="2018-03-30T00:00:00"/>
    <n v="0"/>
    <d v="2018-04-13T00:00:00"/>
    <d v="2018-04-13T00:00:00"/>
    <n v="0"/>
    <m/>
    <d v="2018-03-04T00:00:00"/>
    <s v="0"/>
    <m/>
    <d v="2018-03-04T00:00:00"/>
    <s v="0"/>
    <m/>
    <d v="2018-03-04T00:00:00"/>
    <s v="0"/>
    <m/>
    <d v="2018-03-04T00:00:00"/>
    <s v="0"/>
    <m/>
    <m/>
    <s v="0"/>
    <m/>
    <m/>
    <s v="0"/>
    <m/>
    <m/>
    <s v="0"/>
    <m/>
    <m/>
    <m/>
    <d v="2019-07-09T00:00:00"/>
    <d v="2019-10-13T00:00:00"/>
    <n v="15.066666666666666"/>
    <d v="2019-08-08T00:00:00"/>
    <d v="2019-11-13T00:00:00"/>
    <n v="46700"/>
    <n v="46700"/>
    <m/>
    <m/>
    <n v="16.399999999999999"/>
    <n v="3.2333333333333334"/>
    <m/>
    <m/>
    <m/>
    <s v="retard études : gestion mitoyens / signature convention_x000a_retard rendu DCE (changement chargé d'affaire INTEGRALE)"/>
    <m/>
    <m/>
    <n v="3709176.2725294223"/>
    <n v="3630149"/>
    <n v="-79027.272529422306"/>
    <e v="#DIV/0!"/>
    <n v="165006.77272727274"/>
    <n v="3142057.6116279075"/>
    <n v="3087171"/>
    <n v="-54886.611627907492"/>
    <n v="0.86828435719856112"/>
    <n v="0.4"/>
    <n v="1117146.8818248713"/>
    <x v="49"/>
    <n v="53153.5"/>
    <n v="52230.118175128708"/>
    <n v="2192029.3907045508"/>
    <x v="51"/>
    <n v="372311"/>
    <n v="1688461"/>
    <n v="-131257.39070455078"/>
    <n v="93671.454545454544"/>
    <m/>
    <n v="400000"/>
    <x v="34"/>
    <m/>
    <n v="0.1078406553396896"/>
    <m/>
    <x v="0"/>
    <n v="0"/>
    <n v="18181.81818181818"/>
    <n v="71335.318181818177"/>
    <n v="0"/>
    <n v="5.32"/>
    <n v="5.29"/>
    <m/>
    <m/>
    <n v="68961.221901130513"/>
    <m/>
    <n v="71335.318181818177"/>
    <n v="0.40902528495640184"/>
    <m/>
    <m/>
    <x v="8"/>
    <n v="3709176.2725294223"/>
    <n v="184075"/>
    <n v="92037"/>
    <d v="2016-02-29T00:00:00"/>
    <m/>
    <m/>
    <m/>
    <d v="2016-08-23T00:00:00"/>
    <n v="8765"/>
    <d v="2016-02-29T00:00:00"/>
    <n v="36701"/>
    <s v="12/12/2016_x000a_28/02/17"/>
    <n v="18328"/>
    <n v="42926"/>
    <n v="28243"/>
    <m/>
    <m/>
    <m/>
    <m/>
    <m/>
    <m/>
    <m/>
    <m/>
    <m/>
    <m/>
    <m/>
    <m/>
    <m/>
    <m/>
    <m/>
    <m/>
    <n v="36701"/>
    <m/>
    <m/>
    <m/>
    <m/>
    <m/>
  </r>
  <r>
    <s v="Palissandre"/>
    <s v="Tampon"/>
    <s v="CA SUD"/>
    <x v="6"/>
    <s v="PRLC 0110"/>
    <s v="YFR"/>
    <s v="VAF"/>
    <s v="DCE"/>
    <m/>
    <m/>
    <s v="pas de réseau EU"/>
    <s v="Commune"/>
    <s v="LE GOFF"/>
    <m/>
    <n v="2433"/>
    <n v="487212"/>
    <n v="487212"/>
    <n v="16240.4"/>
    <n v="200.25154130702836"/>
    <n v="200.25154130702836"/>
    <n v="190.87340453038934"/>
    <n v="16240.4"/>
    <n v="81.099999999999994"/>
    <n v="782"/>
    <n v="1.0491327579120426"/>
    <s v="UA"/>
    <n v="528"/>
    <n v="0.05"/>
    <s v="LLS"/>
    <n v="30"/>
    <n v="30"/>
    <m/>
    <m/>
    <m/>
    <n v="2526.1"/>
    <n v="2552.54"/>
    <n v="85.084666666666664"/>
    <n v="0.13333333333333333"/>
    <n v="0.23333333333333334"/>
    <n v="0.3"/>
    <n v="0.26666666666666666"/>
    <n v="6.6666666666666666E-2"/>
    <m/>
    <n v="0"/>
    <n v="0"/>
    <n v="4.5"/>
    <s v="collectif"/>
    <s v="oui"/>
    <s v="07/06/2012_x000a_06/11/15"/>
    <d v="2011-09-30T00:00:00"/>
    <s v="INGEPAR"/>
    <s v="LS 73"/>
    <m/>
    <d v="2016-09-05T00:00:00"/>
    <d v="2016-10-03T00:00:00"/>
    <d v="2014-06-17T00:00:00"/>
    <d v="2014-07-11T00:00:00"/>
    <m/>
    <m/>
    <m/>
    <m/>
    <m/>
    <m/>
    <d v="1901-12-31T00:00:00"/>
    <d v="1902-12-31T00:00:00"/>
    <m/>
    <m/>
    <m/>
    <m/>
    <m/>
    <m/>
    <m/>
    <s v="LE GOFF"/>
    <m/>
    <m/>
    <m/>
    <d v="1901-06-30T00:00:00"/>
    <m/>
    <m/>
    <s v="SO"/>
    <m/>
    <m/>
    <d v="2018-07-10T00:00:00"/>
    <m/>
    <n v="22.433333333333334"/>
    <n v="18"/>
    <n v="19"/>
    <n v="18"/>
    <n v="19"/>
    <n v="0"/>
    <n v="0"/>
    <m/>
    <n v="0"/>
    <m/>
    <d v="2020-01-10T00:00:00"/>
    <d v="2020-01-10T00:00:00"/>
    <d v="1901-12-31T00:00:00"/>
    <m/>
    <m/>
    <d v="2020-02-10T00:00:00"/>
    <d v="2020-02-10T00:00:00"/>
    <m/>
    <m/>
    <m/>
    <m/>
    <m/>
    <m/>
    <m/>
    <m/>
    <m/>
    <m/>
    <m/>
    <m/>
    <m/>
    <m/>
    <m/>
    <m/>
    <m/>
    <m/>
    <m/>
    <m/>
    <m/>
    <m/>
    <m/>
    <d v="2011-07-11T00:00:00"/>
    <s v="0"/>
    <d v="2011-12-08T00:00:00"/>
    <d v="2016-02-04T00:00:00"/>
    <n v="1519"/>
    <d v="2011-11-18T00:00:00"/>
    <d v="2012-01-03T00:00:00"/>
    <n v="46"/>
    <d v="2012-02-10T00:00:00"/>
    <d v="2013-05-22T00:00:00"/>
    <n v="467"/>
    <m/>
    <m/>
    <s v="0"/>
    <m/>
    <d v="2018-06-25T00:00:00"/>
    <d v="2018-06-25T00:00:00"/>
    <n v="0"/>
    <d v="2018-07-10T00:00:00"/>
    <d v="2018-07-10T00:00:00"/>
    <n v="0"/>
    <m/>
    <d v="2018-03-04T00:00:00"/>
    <s v="0"/>
    <m/>
    <d v="2018-03-04T00:00:00"/>
    <s v="0"/>
    <m/>
    <d v="2018-03-04T00:00:00"/>
    <s v="0"/>
    <m/>
    <d v="2018-03-04T00:00:00"/>
    <s v="0"/>
    <m/>
    <m/>
    <s v="0"/>
    <m/>
    <m/>
    <s v="0"/>
    <m/>
    <m/>
    <s v="0"/>
    <m/>
    <m/>
    <m/>
    <d v="2019-08-16T00:00:00"/>
    <d v="2020-01-10T00:00:00"/>
    <n v="13.4"/>
    <d v="2019-08-30T00:00:00"/>
    <d v="2020-02-10T00:00:00"/>
    <n v="0"/>
    <n v="0"/>
    <m/>
    <m/>
    <n v="67.733333333333334"/>
    <n v="5.4666666666666668"/>
    <m/>
    <m/>
    <s v="attente schéma directeur EP pour lever réserve BCT sur évacuation EP = réunion Boyer 24/02_x000a_attente DCE indice 2_x000a_analyser offres désamiantage"/>
    <s v="lancer désamiantage / étude hydraulique à réaliser pour confirmation hyp SEGC_x000a_perte de temps sur la phase DCE pour consolider étude hydraulique"/>
    <s v="oui"/>
    <m/>
    <n v="4943384.7071162229"/>
    <n v="5019088.09"/>
    <n v="75703.382883776911"/>
    <n v="1986.8920826570602"/>
    <n v="167302.93633333332"/>
    <n v="4257022.3269400001"/>
    <n v="4316430"/>
    <n v="59407.673059999943"/>
    <n v="0.8780628972782184"/>
    <n v="0.37030000000000002"/>
    <n v="1487646.5617181344"/>
    <x v="50"/>
    <n v="50014.773333333331"/>
    <n v="12796.638281865511"/>
    <n v="3185738.1453980887"/>
    <x v="52"/>
    <n v="676852.65"/>
    <n v="2571792.2400000002"/>
    <n v="62906.7446019114"/>
    <n v="108288.163"/>
    <n v="0"/>
    <n v="270000"/>
    <x v="43"/>
    <m/>
    <n v="5.3794632642122052E-2"/>
    <m/>
    <x v="1"/>
    <n v="0"/>
    <n v="9000"/>
    <n v="59014.773333333331"/>
    <n v="0"/>
    <n v="6.47"/>
    <n v="5.76"/>
    <n v="0"/>
    <n v="0"/>
    <n v="58588.218723937818"/>
    <n v="0"/>
    <n v="59014.773333333331"/>
    <n v="0.3555552856705495"/>
    <m/>
    <m/>
    <x v="2"/>
    <n v="4943384.7071162229"/>
    <n v="236430"/>
    <n v="184131.89400921657"/>
    <d v="2011-08-24T00:00:00"/>
    <n v="3705"/>
    <m/>
    <m/>
    <d v="2011-12-15T00:00:00"/>
    <n v="11608"/>
    <d v="2011-12-15T00:00:00"/>
    <n v="42727"/>
    <d v="2012-10-11T00:00:00"/>
    <n v="25155"/>
    <n v="42615"/>
    <n v="35020"/>
    <m/>
    <m/>
    <d v="2016-12-15T00:00:00"/>
    <n v="65916.894009216587"/>
    <m/>
    <m/>
    <m/>
    <m/>
    <m/>
    <m/>
    <m/>
    <m/>
    <m/>
    <m/>
    <m/>
    <m/>
    <n v="42727"/>
    <m/>
    <m/>
    <m/>
    <m/>
    <m/>
  </r>
  <r>
    <s v="Bras de la Plaine"/>
    <s v="Entre-Deux"/>
    <s v="CA SUD"/>
    <x v="6"/>
    <s v="PRLC 0180"/>
    <s v="FBR"/>
    <s v="VAF"/>
    <s v="DCE"/>
    <m/>
    <s v="AS 603"/>
    <s v="bornage signé mais remis en cause / servitude de tréfonds SAPHIR_x000a_prorogation EPFR jusqu'au 11/09/2019 : avenant à recevoir"/>
    <m/>
    <m/>
    <m/>
    <n v="2307"/>
    <n v="184560"/>
    <n v="184560"/>
    <n v="10253.333333333334"/>
    <n v="80"/>
    <n v="80"/>
    <n v="136.34953235124632"/>
    <n v="10253.333333333334"/>
    <n v="128.16666666666666"/>
    <m/>
    <n v="0.58672735153879496"/>
    <m/>
    <n v="380"/>
    <m/>
    <s v="LLTS"/>
    <n v="18"/>
    <m/>
    <n v="18"/>
    <m/>
    <m/>
    <n v="1427.7"/>
    <n v="1353.58"/>
    <n v="75.198888888888888"/>
    <n v="0.1111111111111111"/>
    <n v="0.33333333333333331"/>
    <n v="0.3888888888888889"/>
    <n v="0.16666666666666666"/>
    <m/>
    <m/>
    <m/>
    <m/>
    <m/>
    <s v="collectif"/>
    <m/>
    <d v="2016-01-27T00:00:00"/>
    <d v="2016-04-15T00:00:00"/>
    <m/>
    <m/>
    <m/>
    <d v="2016-09-07T00:00:00"/>
    <d v="2016-10-03T00:00:00"/>
    <m/>
    <m/>
    <m/>
    <m/>
    <m/>
    <m/>
    <m/>
    <m/>
    <d v="1901-12-31T00:00:00"/>
    <d v="1902-12-31T00:00:00"/>
    <m/>
    <m/>
    <m/>
    <m/>
    <m/>
    <m/>
    <m/>
    <m/>
    <m/>
    <m/>
    <m/>
    <d v="1901-06-30T00:00:00"/>
    <m/>
    <m/>
    <s v="SO"/>
    <m/>
    <m/>
    <d v="2018-02-20T00:00:00"/>
    <m/>
    <n v="17.7"/>
    <n v="16"/>
    <n v="17"/>
    <n v="16"/>
    <n v="17"/>
    <n v="0"/>
    <n v="0"/>
    <m/>
    <n v="0"/>
    <m/>
    <d v="2019-06-20T00:00:00"/>
    <d v="2019-06-20T00:00:00"/>
    <d v="1901-12-31T00:00:00"/>
    <m/>
    <m/>
    <d v="2019-07-20T00:00:00"/>
    <d v="2019-07-20T00:00:00"/>
    <m/>
    <m/>
    <m/>
    <m/>
    <m/>
    <m/>
    <m/>
    <m/>
    <m/>
    <m/>
    <m/>
    <m/>
    <m/>
    <m/>
    <m/>
    <m/>
    <m/>
    <m/>
    <m/>
    <m/>
    <m/>
    <d v="2015-10-15T00:00:00"/>
    <d v="2015-10-30T00:00:00"/>
    <d v="2015-10-15T00:00:00"/>
    <n v="-15"/>
    <d v="2016-02-12T00:00:00"/>
    <d v="2016-02-12T00:00:00"/>
    <n v="0"/>
    <d v="2016-03-25T00:00:00"/>
    <d v="2016-08-11T00:00:00"/>
    <n v="139"/>
    <d v="2016-04-12T00:00:00"/>
    <d v="2016-11-16T00:00:00"/>
    <n v="218"/>
    <d v="2016-12-23T00:00:00"/>
    <d v="2017-06-19T00:00:00"/>
    <n v="178"/>
    <m/>
    <d v="2018-02-05T00:00:00"/>
    <d v="2018-03-04T00:00:00"/>
    <n v="27"/>
    <d v="2018-02-20T00:00:00"/>
    <d v="2018-03-04T00:00:00"/>
    <n v="12"/>
    <m/>
    <d v="2018-03-04T00:00:00"/>
    <s v="0"/>
    <m/>
    <d v="2018-03-04T00:00:00"/>
    <s v="0"/>
    <m/>
    <d v="2018-03-04T00:00:00"/>
    <s v="0"/>
    <m/>
    <d v="2018-03-04T00:00:00"/>
    <s v="0"/>
    <m/>
    <m/>
    <s v="0"/>
    <m/>
    <m/>
    <s v="0"/>
    <m/>
    <m/>
    <s v="0"/>
    <m/>
    <m/>
    <m/>
    <d v="2019-08-14T00:00:00"/>
    <d v="2019-06-20T00:00:00"/>
    <n v="18"/>
    <d v="2019-09-13T00:00:00"/>
    <d v="2019-07-20T00:00:00"/>
    <n v="240000"/>
    <n v="240000"/>
    <m/>
    <m/>
    <n v="18.633333333333333"/>
    <n v="-1.8333333333333333"/>
    <m/>
    <m/>
    <s v=" "/>
    <m/>
    <m/>
    <m/>
    <n v="3075176.7292601359"/>
    <n v="3229636.25"/>
    <n v="154459.52073986409"/>
    <n v="2262.1252714155635"/>
    <n v="179424.23611111112"/>
    <n v="2485795.7500000005"/>
    <n v="2579834.0699999998"/>
    <n v="94038.319999999367"/>
    <n v="0.81557500027131535"/>
    <n v="0.4"/>
    <n v="896735"/>
    <x v="51"/>
    <n v="60953.952777777769"/>
    <n v="200436.14999999991"/>
    <n v="1668441.7292601359"/>
    <x v="53"/>
    <n v="318798.07"/>
    <n v="1292137.03"/>
    <n v="-57506.629260135815"/>
    <n v="89496.39444444445"/>
    <m/>
    <n v="270000"/>
    <x v="43"/>
    <m/>
    <n v="8.3600746059250483E-2"/>
    <m/>
    <x v="20"/>
    <n v="0"/>
    <n v="15000"/>
    <n v="75953.952777777769"/>
    <n v="0"/>
    <n v="5.36"/>
    <n v="5.36"/>
    <m/>
    <m/>
    <n v="64818.611111111109"/>
    <m/>
    <n v="75953.952777777769"/>
    <n v="0.37940421078846664"/>
    <m/>
    <m/>
    <x v="27"/>
    <n v="3075176.7292601359"/>
    <n v="140149"/>
    <n v="70074"/>
    <d v="2016-03-01T00:00:00"/>
    <m/>
    <m/>
    <m/>
    <d v="2016-05-11T00:00:00"/>
    <n v="7875"/>
    <d v="2016-03-01T00:00:00"/>
    <n v="27162"/>
    <d v="2016-10-26T00:00:00"/>
    <n v="14015"/>
    <s v="13/12/2016_x000a_24/02/17"/>
    <n v="21022"/>
    <m/>
    <m/>
    <m/>
    <m/>
    <m/>
    <m/>
    <m/>
    <m/>
    <m/>
    <m/>
    <m/>
    <m/>
    <m/>
    <m/>
    <m/>
    <m/>
    <n v="27162"/>
    <m/>
    <m/>
    <m/>
    <m/>
    <m/>
  </r>
  <r>
    <s v="RPA Du Parc"/>
    <s v="St Joseph"/>
    <s v="CA SUD"/>
    <x v="6"/>
    <s v="PRLC 0176"/>
    <s v="FHO"/>
    <s v="SRI"/>
    <s v="DCE"/>
    <m/>
    <s v="BO 206-352"/>
    <s v="compromis vente signé prend fin fin mars 2017 / à proroger à mi 2018 - manque signature Commune"/>
    <m/>
    <m/>
    <m/>
    <n v="2872"/>
    <n v="516960"/>
    <n v="516960"/>
    <n v="12924"/>
    <n v="180"/>
    <n v="180"/>
    <n v="216.90750717486529"/>
    <n v="12924"/>
    <n v="71.8"/>
    <m/>
    <n v="0.8298467966573817"/>
    <m/>
    <m/>
    <m/>
    <s v="LLTS"/>
    <n v="40"/>
    <m/>
    <n v="40"/>
    <m/>
    <m/>
    <n v="2383.79"/>
    <n v="2383.3200000000002"/>
    <n v="59.583000000000006"/>
    <m/>
    <n v="0.92500000000000004"/>
    <n v="0.05"/>
    <n v="2.5000000000000001E-2"/>
    <m/>
    <m/>
    <m/>
    <m/>
    <n v="3"/>
    <s v="collectif"/>
    <m/>
    <d v="2015-11-06T00:00:00"/>
    <d v="2016-04-15T00:00:00"/>
    <m/>
    <m/>
    <m/>
    <d v="2016-09-16T00:00:00"/>
    <d v="2016-10-14T00:00:00"/>
    <s v="SO"/>
    <s v="SO"/>
    <s v="SO"/>
    <m/>
    <m/>
    <m/>
    <m/>
    <m/>
    <d v="1901-12-31T00:00:00"/>
    <d v="1902-12-31T00:00:00"/>
    <m/>
    <m/>
    <m/>
    <m/>
    <m/>
    <m/>
    <m/>
    <m/>
    <m/>
    <m/>
    <m/>
    <d v="1901-06-30T00:00:00"/>
    <m/>
    <m/>
    <s v="SO"/>
    <m/>
    <m/>
    <d v="2018-05-09T00:00:00"/>
    <m/>
    <n v="20"/>
    <n v="16"/>
    <n v="17"/>
    <n v="16"/>
    <n v="17"/>
    <n v="0"/>
    <n v="0"/>
    <m/>
    <n v="0"/>
    <m/>
    <d v="2019-09-09T00:00:00"/>
    <d v="2019-09-09T00:00:00"/>
    <d v="1901-12-31T00:00:00"/>
    <m/>
    <m/>
    <d v="2019-10-09T00:00:00"/>
    <d v="2019-10-09T00:00:00"/>
    <m/>
    <m/>
    <m/>
    <m/>
    <m/>
    <m/>
    <m/>
    <m/>
    <m/>
    <m/>
    <m/>
    <m/>
    <m/>
    <m/>
    <m/>
    <m/>
    <m/>
    <m/>
    <m/>
    <m/>
    <m/>
    <d v="2015-06-09T00:00:00"/>
    <d v="2015-06-24T00:00:00"/>
    <d v="2015-06-15T00:00:00"/>
    <n v="-9"/>
    <d v="2016-02-15T00:00:00"/>
    <d v="2016-02-15T00:00:00"/>
    <n v="0"/>
    <d v="2016-02-05T00:00:00"/>
    <d v="2016-10-26T00:00:00"/>
    <n v="264"/>
    <d v="2016-04-15T00:00:00"/>
    <d v="2017-09-13T00:00:00"/>
    <n v="516"/>
    <d v="2017-08-18T00:00:00"/>
    <d v="2017-12-01T00:00:00"/>
    <n v="105"/>
    <m/>
    <d v="2018-04-24T00:00:00"/>
    <d v="2018-04-24T00:00:00"/>
    <n v="0"/>
    <d v="2018-05-09T00:00:00"/>
    <d v="2018-05-09T00:00:00"/>
    <n v="0"/>
    <m/>
    <d v="2018-03-04T00:00:00"/>
    <s v="0"/>
    <m/>
    <d v="2018-03-04T00:00:00"/>
    <s v="0"/>
    <m/>
    <d v="2018-03-04T00:00:00"/>
    <s v="0"/>
    <m/>
    <d v="2018-03-04T00:00:00"/>
    <s v="0"/>
    <m/>
    <m/>
    <s v="0"/>
    <m/>
    <m/>
    <s v="0"/>
    <m/>
    <m/>
    <s v="0"/>
    <m/>
    <m/>
    <m/>
    <d v="2019-10-31T00:00:00"/>
    <d v="2019-09-09T00:00:00"/>
    <n v="18"/>
    <d v="2019-11-29T00:00:00"/>
    <d v="2019-10-09T00:00:00"/>
    <n v="90790"/>
    <n v="90790"/>
    <m/>
    <m/>
    <n v="29.2"/>
    <n v="-1.7"/>
    <m/>
    <m/>
    <m/>
    <s v="lancer AO"/>
    <m/>
    <m/>
    <n v="5086671"/>
    <n v="5118037.53"/>
    <n v="31366.530000000261"/>
    <n v="2147.0169478016101"/>
    <n v="127950.93825000001"/>
    <n v="4519361.7020000005"/>
    <n v="4649415"/>
    <n v="130053.29799999949"/>
    <n v="0.92751424489847378"/>
    <n v="0.4"/>
    <n v="1517885"/>
    <x v="52"/>
    <n v="38820.022749999996"/>
    <n v="34915.909999999916"/>
    <n v="2768786"/>
    <x v="54"/>
    <n v="586270.37"/>
    <n v="2178966.25"/>
    <n v="-3549.3799999998882"/>
    <n v="69130.915500000003"/>
    <m/>
    <n v="800000"/>
    <x v="44"/>
    <m/>
    <n v="0.15630991279581335"/>
    <m/>
    <x v="0"/>
    <n v="0"/>
    <n v="20000"/>
    <n v="57947.125"/>
    <n v="0"/>
    <n v="5.76"/>
    <n v="5.7"/>
    <m/>
    <m/>
    <n v="57947.125"/>
    <m/>
    <n v="58820.022750000004"/>
    <n v="0.45567818323614795"/>
    <m/>
    <m/>
    <x v="2"/>
    <n v="5086671"/>
    <n v="251153"/>
    <n v="126076"/>
    <d v="2015-06-25T00:00:00"/>
    <n v="21429"/>
    <m/>
    <m/>
    <d v="2016-09-20T00:00:00"/>
    <n v="12215"/>
    <d v="2016-02-29T00:00:00"/>
    <n v="24930"/>
    <s v="22/12/2016_x000a_22/03/17"/>
    <n v="29829"/>
    <n v="43090"/>
    <n v="37673"/>
    <m/>
    <m/>
    <m/>
    <m/>
    <m/>
    <m/>
    <m/>
    <m/>
    <m/>
    <m/>
    <m/>
    <m/>
    <m/>
    <m/>
    <m/>
    <m/>
    <n v="24930"/>
    <m/>
    <m/>
    <m/>
    <m/>
    <m/>
  </r>
  <r>
    <s v="Kakis"/>
    <s v="Entre-Deux"/>
    <s v="CA SUD"/>
    <x v="6"/>
    <s v="PRLC 0181"/>
    <s v="FBR"/>
    <s v="DBE"/>
    <s v="OS"/>
    <m/>
    <s v="AO 433"/>
    <s v="terrain acheté_x000a_projet de bornage transmis à FBR"/>
    <m/>
    <m/>
    <m/>
    <n v="8111"/>
    <n v="405550"/>
    <n v="405550"/>
    <n v="11587.142857142857"/>
    <n v="50"/>
    <n v="50"/>
    <n v="175.71642735205677"/>
    <n v="11587.142857142857"/>
    <n v="231.74285714285713"/>
    <m/>
    <n v="0.28454937738873137"/>
    <m/>
    <n v="450"/>
    <m/>
    <s v="LLTS"/>
    <n v="35"/>
    <m/>
    <n v="35"/>
    <m/>
    <m/>
    <n v="2316.3530000000001"/>
    <n v="2307.98"/>
    <n v="65.942285714285717"/>
    <n v="0.22857142857142856"/>
    <n v="0.22857142857142856"/>
    <n v="0.22857142857142856"/>
    <n v="0.31428571428571428"/>
    <m/>
    <m/>
    <m/>
    <m/>
    <m/>
    <s v="collectif"/>
    <m/>
    <d v="2016-01-27T00:00:00"/>
    <d v="2016-04-15T00:00:00"/>
    <m/>
    <m/>
    <m/>
    <d v="2016-10-17T00:00:00"/>
    <m/>
    <m/>
    <m/>
    <m/>
    <d v="2017-05-31T00:00:00"/>
    <d v="2017-07-13T00:00:00"/>
    <d v="2017-10-05T00:00:00"/>
    <d v="2017-08-10T00:00:00"/>
    <d v="2017-10-05T00:00:00"/>
    <d v="2019-10-05T00:00:00"/>
    <d v="2020-10-05T00:00:00"/>
    <s v="non"/>
    <d v="2017-07-04T00:00:00"/>
    <s v="OK "/>
    <m/>
    <m/>
    <m/>
    <m/>
    <m/>
    <m/>
    <m/>
    <m/>
    <d v="1901-06-30T00:00:00"/>
    <m/>
    <m/>
    <s v="SO"/>
    <m/>
    <m/>
    <d v="2018-03-05T00:00:00"/>
    <m/>
    <n v="16.8"/>
    <n v="14"/>
    <n v="15"/>
    <n v="14"/>
    <n v="15"/>
    <n v="0"/>
    <n v="0"/>
    <m/>
    <n v="0"/>
    <m/>
    <d v="2019-05-05T00:00:00"/>
    <d v="2019-05-05T00:00:00"/>
    <d v="1901-12-31T00:00:00"/>
    <m/>
    <m/>
    <d v="2019-06-05T00:00:00"/>
    <d v="2019-06-05T00:00:00"/>
    <m/>
    <m/>
    <m/>
    <m/>
    <m/>
    <m/>
    <m/>
    <m/>
    <m/>
    <m/>
    <m/>
    <m/>
    <m/>
    <m/>
    <m/>
    <m/>
    <m/>
    <m/>
    <m/>
    <m/>
    <m/>
    <d v="2015-10-19T00:00:00"/>
    <d v="2015-10-30T00:00:00"/>
    <d v="2015-10-19T00:00:00"/>
    <n v="-11"/>
    <d v="2016-02-12T00:00:00"/>
    <d v="2016-02-12T00:00:00"/>
    <n v="0"/>
    <d v="2016-03-29T00:00:00"/>
    <d v="2016-08-11T00:00:00"/>
    <n v="135"/>
    <d v="2016-10-12T00:00:00"/>
    <d v="2016-11-09T00:00:00"/>
    <n v="28"/>
    <d v="2017-02-13T00:00:00"/>
    <d v="2017-06-06T00:00:00"/>
    <n v="113"/>
    <d v="2018-01-23T00:00:00"/>
    <d v="2018-02-09T00:00:00"/>
    <d v="2018-03-01T00:00:00"/>
    <n v="20"/>
    <d v="2018-02-23T00:00:00"/>
    <d v="2018-03-05T00:00:00"/>
    <n v="10"/>
    <m/>
    <d v="2018-03-04T00:00:00"/>
    <s v="0"/>
    <m/>
    <d v="2018-03-04T00:00:00"/>
    <s v="0"/>
    <m/>
    <d v="2018-03-04T00:00:00"/>
    <s v="0"/>
    <m/>
    <d v="2018-03-04T00:00:00"/>
    <s v="0"/>
    <m/>
    <m/>
    <s v="0"/>
    <m/>
    <m/>
    <s v="0"/>
    <m/>
    <m/>
    <s v="0"/>
    <m/>
    <m/>
    <m/>
    <d v="2019-05-05T00:00:00"/>
    <d v="2019-05-05T00:00:00"/>
    <n v="16.166666666666668"/>
    <d v="2019-06-05T00:00:00"/>
    <d v="2019-06-05T00:00:00"/>
    <n v="0"/>
    <n v="0"/>
    <n v="122000"/>
    <m/>
    <n v="9.8333333333333339"/>
    <n v="0"/>
    <m/>
    <m/>
    <s v="réunion démarrage 01/03/18"/>
    <m/>
    <m/>
    <m/>
    <n v="4867349.3792960932"/>
    <n v="5359988"/>
    <n v="492638.62070390675"/>
    <n v="2313.9771874148714"/>
    <n v="153142.51428571428"/>
    <n v="4254582.75"/>
    <n v="4784510"/>
    <n v="529927.25"/>
    <n v="0.91137978480548831"/>
    <n v="0.4"/>
    <n v="1361329.3792960932"/>
    <x v="53"/>
    <n v="46557.971428571429"/>
    <n v="268199.62070390675"/>
    <n v="2561020"/>
    <x v="55"/>
    <n v="738771"/>
    <n v="2021688"/>
    <n v="199439"/>
    <n v="78870.257142857139"/>
    <m/>
    <n v="945000"/>
    <x v="45"/>
    <m/>
    <n v="0.17630636486499596"/>
    <m/>
    <x v="21"/>
    <n v="0"/>
    <n v="27000"/>
    <n v="73557.971428571429"/>
    <n v="0"/>
    <n v="5.57"/>
    <n v="5.54"/>
    <m/>
    <m/>
    <n v="65895.125122745521"/>
    <m/>
    <n v="73557.971428571429"/>
    <n v="0.47383682566662805"/>
    <m/>
    <m/>
    <x v="8"/>
    <n v="5359988"/>
    <n v="265262"/>
    <n v="145894"/>
    <d v="2015-11-27T00:00:00"/>
    <n v="26176"/>
    <m/>
    <m/>
    <d v="2016-05-11T00:00:00"/>
    <n v="17712"/>
    <d v="2016-03-01T00:00:00"/>
    <n v="20368"/>
    <d v="2016-10-27T00:00:00"/>
    <n v="25703"/>
    <s v="13/12/2016_x000a_23/02/17"/>
    <n v="38553"/>
    <m/>
    <m/>
    <d v="2017-12-14T00:00:00"/>
    <n v="17382"/>
    <m/>
    <m/>
    <m/>
    <m/>
    <m/>
    <m/>
    <d v="2017-03-28T00:00:00"/>
    <m/>
    <m/>
    <m/>
    <m/>
    <m/>
    <n v="20368"/>
    <m/>
    <m/>
    <m/>
    <m/>
    <m/>
  </r>
  <r>
    <s v="VEFA Hopital"/>
    <s v="St Pierre"/>
    <s v="CIVIS"/>
    <x v="7"/>
    <s v="PRLC 0195"/>
    <s v="OET"/>
    <s v="VAF"/>
    <s v="Tvx"/>
    <m/>
    <s v="ET 909 / 1256"/>
    <m/>
    <m/>
    <m/>
    <m/>
    <n v="4801"/>
    <n v="473822"/>
    <n v="473822"/>
    <n v="15794.066666666668"/>
    <n v="98.692355759216824"/>
    <n v="98.692355759216824"/>
    <n v="277.36300788498573"/>
    <n v="15794.066666666668"/>
    <n v="160.03333333333333"/>
    <m/>
    <n v="0.35582378671110182"/>
    <m/>
    <m/>
    <m/>
    <s v="LLTS"/>
    <n v="30"/>
    <m/>
    <n v="30"/>
    <m/>
    <m/>
    <n v="1708.31"/>
    <n v="1708.31"/>
    <m/>
    <m/>
    <m/>
    <m/>
    <m/>
    <m/>
    <m/>
    <m/>
    <m/>
    <m/>
    <s v="collectif"/>
    <m/>
    <m/>
    <m/>
    <m/>
    <m/>
    <s v="SO"/>
    <d v="2017-06-23T00:00:00"/>
    <m/>
    <m/>
    <m/>
    <m/>
    <d v="2017-08-20T00:00:00"/>
    <m/>
    <m/>
    <m/>
    <m/>
    <d v="1901-12-31T00:00:00"/>
    <d v="1902-12-31T00:00:00"/>
    <m/>
    <m/>
    <m/>
    <m/>
    <m/>
    <m/>
    <m/>
    <m/>
    <m/>
    <m/>
    <n v="3443980.72"/>
    <m/>
    <m/>
    <m/>
    <d v="2019-10-30T00:00:00"/>
    <n v="-6.5666666666666664"/>
    <m/>
    <d v="2017-12-01T00:00:00"/>
    <n v="2017"/>
    <n v="5.3666666666666663"/>
    <n v="15"/>
    <n v="16"/>
    <n v="15"/>
    <n v="16"/>
    <n v="0"/>
    <n v="0"/>
    <m/>
    <n v="0"/>
    <m/>
    <d v="2019-03-01T00:00:00"/>
    <d v="2019-03-01T00:00:00"/>
    <d v="1901-12-31T00:00:00"/>
    <m/>
    <m/>
    <d v="2019-04-01T00:00:00"/>
    <d v="2019-04-16T00:00:00"/>
    <m/>
    <m/>
    <m/>
    <m/>
    <m/>
    <m/>
    <m/>
    <m/>
    <m/>
    <m/>
    <m/>
    <m/>
    <m/>
    <m/>
    <m/>
    <m/>
    <m/>
    <m/>
    <m/>
    <m/>
    <m/>
    <m/>
    <m/>
    <m/>
    <s v="0"/>
    <d v="2017-02-06T00:00:00"/>
    <d v="2016-12-27T00:00:00"/>
    <n v="-41"/>
    <m/>
    <m/>
    <s v="0"/>
    <m/>
    <m/>
    <s v="0"/>
    <m/>
    <m/>
    <s v="0"/>
    <m/>
    <d v="2017-11-30T00:00:00"/>
    <d v="2017-12-04T00:00:00"/>
    <n v="4"/>
    <d v="2017-12-11T00:00:00"/>
    <d v="2017-12-01T00:00:00"/>
    <n v="-1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06-04T00:00:00"/>
    <d v="2019-03-01T00:00:00"/>
    <n v="18.333333333333332"/>
    <d v="2019-07-04T00:00:00"/>
    <d v="2019-04-16T00:00:00"/>
    <n v="0"/>
    <n v="0"/>
    <n v="0"/>
    <m/>
    <n v="-1.5666666666666667"/>
    <n v="-2.6333333333333333"/>
    <m/>
    <m/>
    <s v="13/2/18 : fondations"/>
    <m/>
    <m/>
    <m/>
    <n v="3803779.2429890437"/>
    <n v="3855387"/>
    <n v="51607.757010956295"/>
    <n v="2226.6328962477792"/>
    <n v="126792.64143296813"/>
    <m/>
    <m/>
    <n v="0"/>
    <n v="0"/>
    <n v="0.4"/>
    <n v="1081657"/>
    <x v="54"/>
    <n v="36055.23333333333"/>
    <n v="99967"/>
    <n v="2022122.2429890437"/>
    <x v="56"/>
    <n v="459254"/>
    <n v="1514509"/>
    <n v="-48359.242989043705"/>
    <n v="67404.074766301463"/>
    <m/>
    <n v="700000"/>
    <x v="39"/>
    <m/>
    <n v="0.18402750403830842"/>
    <m/>
    <x v="0"/>
    <n v="0"/>
    <n v="23333.333333333332"/>
    <n v="59388.566666666666"/>
    <n v="0"/>
    <m/>
    <m/>
    <m/>
    <m/>
    <n v="59388.566666666666"/>
    <m/>
    <n v="62720.800000000003"/>
    <n v="0.46839127251768636"/>
    <m/>
    <m/>
    <x v="8"/>
    <n v="3803779.2429890437"/>
    <n v="178239"/>
    <n v="124768"/>
    <m/>
    <m/>
    <m/>
    <m/>
    <m/>
    <m/>
    <d v="2017-04-04T00:00:00"/>
    <n v="43954"/>
    <m/>
    <m/>
    <m/>
    <m/>
    <m/>
    <m/>
    <d v="2017-12-05T00:00:00"/>
    <n v="54078"/>
    <d v="2017-12-23T00:00:00"/>
    <n v="17824"/>
    <d v="2018-02-22T00:00:00"/>
    <n v="8912"/>
    <m/>
    <m/>
    <m/>
    <m/>
    <m/>
    <m/>
    <m/>
    <m/>
    <n v="43954"/>
    <m/>
    <m/>
    <m/>
    <m/>
    <m/>
  </r>
  <r>
    <s v="Californie"/>
    <s v="Tampon"/>
    <s v="CA SUD"/>
    <x v="7"/>
    <s v="PRLC 0186"/>
    <s v="ADE"/>
    <s v="EGI"/>
    <s v="PRO"/>
    <m/>
    <s v="EK 286"/>
    <s v="Avenant EPFR signé_x000a_Convention avec riverain signée"/>
    <m/>
    <m/>
    <m/>
    <n v="1976"/>
    <n v="300000"/>
    <m/>
    <n v="12500"/>
    <n v="151.82186234817814"/>
    <n v="0"/>
    <n v="0"/>
    <n v="0"/>
    <n v="82.333333333333329"/>
    <m/>
    <n v="0.90862348178137653"/>
    <s v="UB"/>
    <n v="590"/>
    <m/>
    <s v="LLTS"/>
    <n v="24"/>
    <m/>
    <n v="24"/>
    <m/>
    <m/>
    <n v="1779.08"/>
    <n v="1795.44"/>
    <n v="74.81"/>
    <n v="0.125"/>
    <n v="0.375"/>
    <n v="0.25"/>
    <n v="0.125"/>
    <n v="0.125"/>
    <m/>
    <m/>
    <m/>
    <n v="4"/>
    <s v="collectif"/>
    <s v="oui"/>
    <d v="2017-01-26T00:00:00"/>
    <m/>
    <m/>
    <m/>
    <m/>
    <d v="2017-06-30T00:00:00"/>
    <d v="2017-10-02T00:00:00"/>
    <m/>
    <m/>
    <m/>
    <m/>
    <m/>
    <m/>
    <m/>
    <m/>
    <d v="1901-12-31T00:00:00"/>
    <d v="1902-12-31T00:00:00"/>
    <m/>
    <m/>
    <m/>
    <m/>
    <m/>
    <m/>
    <m/>
    <m/>
    <m/>
    <m/>
    <m/>
    <m/>
    <m/>
    <m/>
    <s v="SO"/>
    <m/>
    <m/>
    <d v="2018-09-19T00:00:00"/>
    <m/>
    <n v="14.866666666666667"/>
    <n v="14"/>
    <n v="15"/>
    <n v="14"/>
    <n v="15"/>
    <n v="0"/>
    <n v="0"/>
    <m/>
    <n v="0"/>
    <m/>
    <d v="2019-11-19T00:00:00"/>
    <d v="2019-11-19T00:00:00"/>
    <d v="1901-12-31T00:00:00"/>
    <m/>
    <m/>
    <d v="2019-12-19T00:00:00"/>
    <d v="2019-12-19T00:00:00"/>
    <m/>
    <m/>
    <m/>
    <m/>
    <m/>
    <m/>
    <m/>
    <m/>
    <m/>
    <m/>
    <m/>
    <m/>
    <m/>
    <m/>
    <m/>
    <m/>
    <m/>
    <m/>
    <m/>
    <m/>
    <m/>
    <d v="2016-08-01T00:00:00"/>
    <d v="2016-08-16T00:00:00"/>
    <d v="2016-08-01T00:00:00"/>
    <n v="-15"/>
    <d v="2016-11-18T00:00:00"/>
    <d v="2016-11-21T00:00:00"/>
    <n v="3"/>
    <d v="2017-01-18T00:00:00"/>
    <d v="2017-01-16T00:00:00"/>
    <n v="-2"/>
    <d v="2017-04-04T00:00:00"/>
    <d v="2017-12-14T00:00:00"/>
    <n v="254"/>
    <d v="2017-06-19T00:00:00"/>
    <d v="2018-03-04T00:00:00"/>
    <n v="258"/>
    <m/>
    <d v="2018-02-23T00:00:00"/>
    <d v="2018-03-04T00:00:00"/>
    <n v="9"/>
    <d v="2018-03-08T00:00:00"/>
    <d v="2018-03-08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1-10T00:00:00"/>
    <d v="2019-11-19T00:00:00"/>
    <n v="22.433333333333334"/>
    <d v="2020-02-11T00:00:00"/>
    <d v="2019-12-19T00:00:00"/>
    <n v="0"/>
    <n v="0"/>
    <m/>
    <m/>
    <n v="16.899999999999999"/>
    <n v="-1.8"/>
    <m/>
    <m/>
    <s v="caler réunion validation PRO semaine 26/02"/>
    <m/>
    <m/>
    <m/>
    <n v="3866130.6767742028"/>
    <n v="3923899"/>
    <n v="57768.323225797154"/>
    <n v="2173.106705024059"/>
    <n v="161088.77819892511"/>
    <n v="3537549.5398594467"/>
    <n v="3653732"/>
    <n v="116182.4601405533"/>
    <n v="0.9507024446857576"/>
    <n v="0.4"/>
    <n v="1224437.8025662941"/>
    <x v="55"/>
    <n v="51018.24177359559"/>
    <m/>
    <n v="2131692.8742079088"/>
    <x v="57"/>
    <n v="422282"/>
    <n v="1731612"/>
    <n v="22201.125792091247"/>
    <n v="88820.536425329527"/>
    <m/>
    <n v="480000"/>
    <x v="46"/>
    <m/>
    <n v="0.12415514118123376"/>
    <m/>
    <x v="22"/>
    <n v="0"/>
    <n v="20000"/>
    <n v="71018.241773595582"/>
    <n v="0"/>
    <n v="5.38"/>
    <n v="5.38"/>
    <m/>
    <m/>
    <n v="71018.241773595582"/>
    <m/>
    <n v="72500.208333333328"/>
    <n v="0.44086399169218771"/>
    <m/>
    <m/>
    <x v="8"/>
    <n v="3866130.6767742028"/>
    <n v="193785"/>
    <n v="77513"/>
    <d v="2016-07-11T00:00:00"/>
    <n v="19202"/>
    <m/>
    <m/>
    <s v="14/12/2016_x000a_21/02/17"/>
    <n v="9745"/>
    <d v="2016-11-22T00:00:00"/>
    <n v="18750"/>
    <d v="2017-04-12T00:00:00"/>
    <n v="29816"/>
    <m/>
    <n v="0"/>
    <m/>
    <m/>
    <m/>
    <m/>
    <m/>
    <m/>
    <m/>
    <m/>
    <m/>
    <m/>
    <m/>
    <m/>
    <m/>
    <m/>
    <m/>
    <m/>
    <n v="18750"/>
    <m/>
    <m/>
    <m/>
    <m/>
    <m/>
  </r>
  <r>
    <s v="INDIGO Tranche 1"/>
    <s v="St Leu"/>
    <s v="TCO"/>
    <x v="7"/>
    <s v="PRLC 0185"/>
    <s v="APU"/>
    <s v="DBE"/>
    <s v="PRO"/>
    <m/>
    <s v="DD783 / 1298"/>
    <s v="_x000a_attente protocole DD 1298 pour prendre possession des lieux_x000a_lancer procédure expulsion bungalow"/>
    <m/>
    <m/>
    <m/>
    <n v="11037"/>
    <n v="705655.44208162103"/>
    <m/>
    <n v="8400.6600247812021"/>
    <n v="63.935439166587031"/>
    <n v="0"/>
    <n v="0"/>
    <n v="0"/>
    <n v="131.39285714285714"/>
    <m/>
    <n v="0.58915284950620639"/>
    <m/>
    <m/>
    <m/>
    <s v="LLTS"/>
    <n v="84"/>
    <m/>
    <n v="84"/>
    <m/>
    <m/>
    <n v="6502.48"/>
    <n v="6502.48"/>
    <n v="77.410476190476189"/>
    <m/>
    <m/>
    <m/>
    <m/>
    <m/>
    <m/>
    <m/>
    <m/>
    <m/>
    <s v="collectif"/>
    <s v="oui"/>
    <s v="30/08/2016_x000a_01/02/17"/>
    <m/>
    <m/>
    <m/>
    <m/>
    <d v="2017-07-13T00:00:00"/>
    <d v="2017-10-02T00:00:00"/>
    <s v="SO"/>
    <s v="SO"/>
    <s v="SO"/>
    <m/>
    <m/>
    <m/>
    <m/>
    <m/>
    <d v="1901-12-31T00:00:00"/>
    <d v="1902-12-31T00:00:00"/>
    <m/>
    <m/>
    <m/>
    <m/>
    <m/>
    <m/>
    <m/>
    <m/>
    <m/>
    <m/>
    <m/>
    <m/>
    <m/>
    <m/>
    <s v="SO"/>
    <m/>
    <m/>
    <d v="2018-08-10T00:00:00"/>
    <m/>
    <n v="13.1"/>
    <n v="22"/>
    <n v="23"/>
    <n v="22"/>
    <n v="23"/>
    <n v="0"/>
    <n v="0"/>
    <m/>
    <n v="0"/>
    <m/>
    <d v="2020-06-10T00:00:00"/>
    <d v="2020-06-10T00:00:00"/>
    <d v="1901-12-31T00:00:00"/>
    <m/>
    <m/>
    <d v="2020-07-10T00:00:00"/>
    <d v="2020-07-10T00:00:00"/>
    <m/>
    <m/>
    <m/>
    <m/>
    <m/>
    <m/>
    <m/>
    <m/>
    <m/>
    <m/>
    <m/>
    <m/>
    <m/>
    <m/>
    <m/>
    <m/>
    <m/>
    <m/>
    <m/>
    <m/>
    <m/>
    <d v="2016-09-06T00:00:00"/>
    <d v="2016-09-06T00:00:00"/>
    <d v="2016-09-06T00:00:00"/>
    <n v="0"/>
    <d v="2017-02-27T00:00:00"/>
    <d v="2017-02-09T00:00:00"/>
    <n v="-18"/>
    <d v="2017-02-06T00:00:00"/>
    <d v="2017-02-28T00:00:00"/>
    <n v="22"/>
    <d v="2017-04-10T00:00:00"/>
    <d v="2018-03-04T00:00:00"/>
    <n v="328"/>
    <d v="2018-02-12T00:00:00"/>
    <d v="2018-03-04T00:00:00"/>
    <n v="20"/>
    <m/>
    <d v="2018-07-27T00:00:00"/>
    <d v="2018-07-27T00:00:00"/>
    <n v="0"/>
    <d v="2018-08-10T00:00:00"/>
    <d v="2018-08-10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1-31T00:00:00"/>
    <d v="2020-06-10T00:00:00"/>
    <n v="17.966666666666665"/>
    <d v="2020-03-03T00:00:00"/>
    <d v="2020-07-10T00:00:00"/>
    <n v="0"/>
    <n v="0"/>
    <m/>
    <m/>
    <n v="11.733333333333333"/>
    <n v="4.3"/>
    <m/>
    <m/>
    <s v="PRO à recevoir en 02/18 - PC modif à déposer"/>
    <m/>
    <m/>
    <m/>
    <n v="12734880"/>
    <n v="12677323"/>
    <n v="-57557"/>
    <n v="1958.465077939494"/>
    <n v="151605.71428571429"/>
    <n v="14981542.360255377"/>
    <n v="10898468"/>
    <n v="-4083074.3602553774"/>
    <n v="0.87773545156181632"/>
    <n v="0.4"/>
    <n v="3890729"/>
    <x v="56"/>
    <n v="46318.202380952382"/>
    <n v="-82404"/>
    <n v="7274595"/>
    <x v="58"/>
    <n v="1108476"/>
    <n v="6190966"/>
    <n v="24847"/>
    <n v="86602.321428571435"/>
    <m/>
    <n v="1512000"/>
    <x v="47"/>
    <m/>
    <n v="0.11872903396027289"/>
    <m/>
    <x v="23"/>
    <n v="0"/>
    <n v="18000"/>
    <n v="64318.202380952382"/>
    <n v="0"/>
    <n v="5.31"/>
    <n v="5.05"/>
    <m/>
    <m/>
    <n v="64318.202380952382"/>
    <m/>
    <n v="63337.202380952382"/>
    <n v="0.4242465574862111"/>
    <m/>
    <m/>
    <x v="8"/>
    <n v="12734880"/>
    <n v="626953"/>
    <n v="219433.3"/>
    <d v="2016-08-23T00:00:00"/>
    <n v="110767"/>
    <m/>
    <m/>
    <d v="2016-12-12T00:00:00"/>
    <n v="22977"/>
    <d v="2017-02-28T00:00:00"/>
    <n v="22994"/>
    <d v="2017-07-10T00:00:00"/>
    <n v="62695.3"/>
    <m/>
    <m/>
    <m/>
    <m/>
    <m/>
    <m/>
    <m/>
    <m/>
    <m/>
    <m/>
    <m/>
    <m/>
    <m/>
    <m/>
    <m/>
    <m/>
    <m/>
    <m/>
    <n v="22994"/>
    <m/>
    <m/>
    <m/>
    <m/>
    <m/>
  </r>
  <r>
    <s v="Dakota "/>
    <s v="Tampon"/>
    <s v="CA SUD"/>
    <x v="7"/>
    <s v="PRLC 0187"/>
    <s v="ADE"/>
    <s v="VAF"/>
    <s v="PRO"/>
    <m/>
    <s v="EK 250"/>
    <s v="manque terrain communal à acheter en mai 2018 : veiller à ce que les abonnements soient résiliés"/>
    <m/>
    <m/>
    <m/>
    <n v="1953"/>
    <n v="452000"/>
    <m/>
    <n v="17384.615384615383"/>
    <n v="231.43881208397337"/>
    <n v="0"/>
    <n v="0"/>
    <n v="0"/>
    <n v="75.115384615384613"/>
    <m/>
    <n v="0.87758320532514089"/>
    <s v="UB"/>
    <n v="590"/>
    <m/>
    <s v="LLTS"/>
    <n v="26"/>
    <m/>
    <n v="26"/>
    <m/>
    <m/>
    <n v="1730.4"/>
    <n v="1713.92"/>
    <n v="65.92"/>
    <m/>
    <n v="1"/>
    <m/>
    <m/>
    <m/>
    <m/>
    <m/>
    <m/>
    <n v="4"/>
    <s v="collectif"/>
    <s v="oui"/>
    <d v="2016-11-17T00:00:00"/>
    <m/>
    <m/>
    <m/>
    <m/>
    <d v="2017-08-23T00:00:00"/>
    <d v="2017-09-21T00:00:00"/>
    <m/>
    <m/>
    <m/>
    <m/>
    <m/>
    <m/>
    <m/>
    <m/>
    <d v="1901-12-31T00:00:00"/>
    <d v="1902-12-31T00:00:00"/>
    <m/>
    <m/>
    <m/>
    <m/>
    <m/>
    <m/>
    <m/>
    <m/>
    <m/>
    <m/>
    <m/>
    <m/>
    <m/>
    <m/>
    <s v="SO"/>
    <m/>
    <m/>
    <d v="2018-08-03T00:00:00"/>
    <m/>
    <n v="11.5"/>
    <n v="16"/>
    <n v="17"/>
    <n v="16"/>
    <n v="17"/>
    <n v="0"/>
    <n v="0"/>
    <m/>
    <n v="0"/>
    <m/>
    <d v="2019-12-03T00:00:00"/>
    <d v="2019-12-03T00:00:00"/>
    <d v="1901-12-31T00:00:00"/>
    <m/>
    <m/>
    <d v="2020-01-03T00:00:00"/>
    <d v="2020-01-03T00:00:00"/>
    <m/>
    <m/>
    <m/>
    <m/>
    <m/>
    <m/>
    <m/>
    <m/>
    <m/>
    <m/>
    <m/>
    <m/>
    <m/>
    <m/>
    <m/>
    <m/>
    <m/>
    <m/>
    <m/>
    <m/>
    <m/>
    <d v="2016-08-04T00:00:00"/>
    <d v="2016-08-19T00:00:00"/>
    <d v="2016-08-04T00:00:00"/>
    <n v="-15"/>
    <d v="2016-12-02T00:00:00"/>
    <d v="2016-11-30T00:00:00"/>
    <n v="-2"/>
    <d v="2017-01-23T00:00:00"/>
    <d v="2017-01-23T00:00:00"/>
    <n v="0"/>
    <d v="2017-03-24T00:00:00"/>
    <d v="2017-04-12T00:00:00"/>
    <n v="19"/>
    <d v="2017-06-09T00:00:00"/>
    <d v="2018-03-04T00:00:00"/>
    <n v="268"/>
    <m/>
    <d v="2018-02-13T00:00:00"/>
    <d v="2018-03-04T00:00:00"/>
    <n v="19"/>
    <d v="2018-02-28T00:00:00"/>
    <d v="2018-03-04T00:00:00"/>
    <n v="4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09-27T00:00:00"/>
    <d v="2019-12-03T00:00:00"/>
    <n v="19.066666666666666"/>
    <d v="2019-10-25T00:00:00"/>
    <d v="2020-01-03T00:00:00"/>
    <n v="250000"/>
    <n v="250000"/>
    <m/>
    <m/>
    <n v="9.7666666666666675"/>
    <n v="2.3333333333333335"/>
    <m/>
    <m/>
    <m/>
    <m/>
    <m/>
    <m/>
    <n v="4132412.99"/>
    <n v="4113382"/>
    <n v="-19030.990000000224"/>
    <n v="2388.1258610725845"/>
    <n v="158938.96115384618"/>
    <n v="3207102"/>
    <n v="3765886"/>
    <n v="558784"/>
    <n v="0.9347465433553217"/>
    <n v="0.4"/>
    <n v="1296385.9099999999"/>
    <x v="57"/>
    <n v="49860.996538461535"/>
    <n v="5430.0900000000838"/>
    <n v="2030427.08"/>
    <x v="59"/>
    <n v="482453"/>
    <n v="1523513"/>
    <n v="-24461.080000000075"/>
    <n v="78093.349230769236"/>
    <m/>
    <n v="520000"/>
    <x v="48"/>
    <m/>
    <n v="0.12583447038288398"/>
    <m/>
    <x v="24"/>
    <n v="0"/>
    <n v="20000"/>
    <n v="69860.996538461535"/>
    <n v="0"/>
    <n v="5.56"/>
    <n v="5.55"/>
    <m/>
    <m/>
    <n v="69860.996538461535"/>
    <m/>
    <n v="70069.846153846156"/>
    <n v="0.43954607499188986"/>
    <m/>
    <m/>
    <x v="28"/>
    <n v="4113382"/>
    <n v="221723"/>
    <n v="110862"/>
    <d v="2016-07-11T00:00:00"/>
    <n v="23880"/>
    <m/>
    <m/>
    <s v="14/12/2016_x000a_21/02/17"/>
    <n v="15414"/>
    <d v="2016-11-23T00:00:00"/>
    <n v="17422"/>
    <d v="2017-05-22T00:00:00"/>
    <n v="20757"/>
    <n v="43075"/>
    <n v="33389"/>
    <m/>
    <m/>
    <m/>
    <m/>
    <m/>
    <m/>
    <m/>
    <m/>
    <m/>
    <m/>
    <m/>
    <m/>
    <m/>
    <m/>
    <m/>
    <m/>
    <n v="17422"/>
    <m/>
    <m/>
    <m/>
    <m/>
    <m/>
  </r>
  <r>
    <s v="VEFA EQUILIBRE"/>
    <s v="St Joseph"/>
    <s v="CA SUD"/>
    <x v="7"/>
    <m/>
    <s v="YFR"/>
    <m/>
    <s v="DCE"/>
    <m/>
    <s v="CI 192"/>
    <m/>
    <m/>
    <m/>
    <m/>
    <n v="10895"/>
    <n v="949780"/>
    <n v="949780"/>
    <n v="25669.72972972973"/>
    <n v="87.175768701239107"/>
    <n v="87.175768701239107"/>
    <n v="296.99372729035201"/>
    <n v="25669.72972972973"/>
    <n v="294.45945945945948"/>
    <m/>
    <n v="0.2935273061037173"/>
    <m/>
    <n v="650"/>
    <m/>
    <s v="LLTS"/>
    <n v="37"/>
    <m/>
    <n v="37"/>
    <m/>
    <m/>
    <n v="3196.53"/>
    <n v="3197.98"/>
    <n v="86.431891891891894"/>
    <m/>
    <m/>
    <m/>
    <m/>
    <m/>
    <m/>
    <m/>
    <m/>
    <m/>
    <s v="MDV"/>
    <m/>
    <d v="2017-01-26T00:00:00"/>
    <d v="2017-01-26T00:00:00"/>
    <m/>
    <m/>
    <m/>
    <d v="2017-09-20T00:00:00"/>
    <m/>
    <m/>
    <m/>
    <m/>
    <m/>
    <m/>
    <m/>
    <m/>
    <m/>
    <d v="1901-12-31T00:00:00"/>
    <d v="1902-12-31T00:00:00"/>
    <m/>
    <m/>
    <m/>
    <m/>
    <m/>
    <m/>
    <m/>
    <m/>
    <m/>
    <m/>
    <n v="6377000.5999999996"/>
    <m/>
    <m/>
    <m/>
    <m/>
    <m/>
    <m/>
    <d v="2018-06-23T00:00:00"/>
    <m/>
    <n v="9.1999999999999993"/>
    <n v="17"/>
    <n v="18"/>
    <n v="17"/>
    <n v="18"/>
    <n v="0"/>
    <n v="0"/>
    <m/>
    <n v="0"/>
    <m/>
    <d v="2019-11-23T00:00:00"/>
    <d v="2019-11-23T00:00:00"/>
    <d v="1901-12-31T00:00:00"/>
    <m/>
    <m/>
    <d v="2019-12-23T00:00:00"/>
    <d v="2019-12-23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d v="2018-03-04T00:00:00"/>
    <s v="0"/>
    <m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08-01T00:00:00"/>
    <d v="2019-11-23T00:00:00"/>
    <n v="17.166666666666668"/>
    <d v="2019-08-30T00:00:00"/>
    <d v="2019-12-23T00:00:00"/>
    <n v="0"/>
    <n v="0"/>
    <m/>
    <m/>
    <n v="0"/>
    <n v="3.8333333333333335"/>
    <m/>
    <m/>
    <s v="courrier de MAP financière / technique faite au promoteur"/>
    <m/>
    <m/>
    <m/>
    <n v="6545033"/>
    <n v="6863538.2000000002"/>
    <n v="318505.20000000019"/>
    <n v="2047.5431170675699"/>
    <n v="176892.78378378379"/>
    <m/>
    <n v="6233418.6500000004"/>
    <n v="6233418.6500000004"/>
    <n v="0.92726524661143417"/>
    <n v="0.4"/>
    <n v="1969908"/>
    <x v="58"/>
    <n v="53240.75675675676"/>
    <n v="301831"/>
    <n v="3915125"/>
    <x v="60"/>
    <n v="1087640.28"/>
    <n v="2844158.92"/>
    <n v="16674.200000000186"/>
    <n v="105814.18918918919"/>
    <m/>
    <n v="660000"/>
    <x v="49"/>
    <m/>
    <n v="0.10083982769834773"/>
    <m/>
    <x v="0"/>
    <n v="0"/>
    <n v="17837.837837837837"/>
    <n v="71078.5945945946"/>
    <n v="0"/>
    <n v="5.15"/>
    <n v="5.0999999999999996"/>
    <m/>
    <m/>
    <n v="71078.5945945946"/>
    <m/>
    <n v="79236.189189189186"/>
    <n v="0.4018173781553126"/>
    <m/>
    <m/>
    <x v="8"/>
    <n v="6545033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100 marches"/>
    <s v="St Joseph"/>
    <s v="CA SUD"/>
    <x v="7"/>
    <m/>
    <s v="JER"/>
    <s v="NLE"/>
    <s v="AO"/>
    <m/>
    <s v="BR 617"/>
    <s v="manque beaucoup de justificatifs_x000a_acte sur BR 570 / 571 qui n'existent plus_x000a_récupérer fiche immeuble"/>
    <s v="SODEGIS"/>
    <s v="Esparon"/>
    <d v="1995-06-01T00:00:00"/>
    <m/>
    <m/>
    <m/>
    <m/>
    <m/>
    <m/>
    <m/>
    <m/>
    <m/>
    <m/>
    <m/>
    <m/>
    <m/>
    <m/>
    <s v="Rehab"/>
    <n v="10"/>
    <m/>
    <m/>
    <m/>
    <n v="10"/>
    <m/>
    <m/>
    <m/>
    <m/>
    <m/>
    <m/>
    <m/>
    <m/>
    <m/>
    <m/>
    <m/>
    <m/>
    <m/>
    <m/>
    <m/>
    <m/>
    <m/>
    <m/>
    <m/>
    <d v="2017-09-27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8-04-01T00:00:00"/>
    <m/>
    <n v="6.2"/>
    <n v="12"/>
    <n v="13"/>
    <n v="12"/>
    <n v="13"/>
    <n v="0"/>
    <n v="0"/>
    <m/>
    <n v="0"/>
    <m/>
    <d v="2019-04-01T00:00:00"/>
    <d v="2019-04-01T00:00:00"/>
    <d v="1901-12-31T00:00:00"/>
    <m/>
    <m/>
    <d v="2019-05-01T00:00:00"/>
    <d v="2019-05-01T00:00:00"/>
    <m/>
    <m/>
    <m/>
    <m/>
    <m/>
    <m/>
    <m/>
    <m/>
    <m/>
    <m/>
    <m/>
    <m/>
    <m/>
    <m/>
    <m/>
    <m/>
    <m/>
    <m/>
    <m/>
    <m/>
    <m/>
    <d v="2017-02-07T00:00:00"/>
    <m/>
    <m/>
    <s v="0"/>
    <d v="2017-05-19T00:00:00"/>
    <d v="2017-05-24T00:00:00"/>
    <n v="5"/>
    <d v="2017-05-22T00:00:00"/>
    <d v="2017-04-28T00:00:00"/>
    <n v="-24"/>
    <d v="2017-05-24T00:00:00"/>
    <d v="2018-03-04T00:00:00"/>
    <n v="284"/>
    <d v="2017-08-15T00:00:00"/>
    <d v="2018-03-04T00:00:00"/>
    <n v="201"/>
    <m/>
    <d v="2017-11-06T00:00:00"/>
    <d v="2018-03-04T00:00:00"/>
    <n v="118"/>
    <d v="2017-11-10T00:00:00"/>
    <d v="2018-03-04T00:00:00"/>
    <n v="114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11-12T00:00:00"/>
    <d v="2019-04-01T00:00:00"/>
    <n v="20.6"/>
    <d v="2019-12-12T00:00:00"/>
    <d v="2019-05-01T00:00:00"/>
    <n v="0"/>
    <n v="0"/>
    <m/>
    <m/>
    <n v="23.266666666666666"/>
    <n v="-7.5"/>
    <m/>
    <m/>
    <s v="négo en cours"/>
    <s v="offres à analyser mais entreprises n'ont pas fait de visite"/>
    <m/>
    <m/>
    <n v="0"/>
    <n v="0"/>
    <m/>
    <e v="#DIV/0!"/>
    <n v="0"/>
    <m/>
    <m/>
    <m/>
    <m/>
    <m/>
    <m/>
    <x v="59"/>
    <n v="0"/>
    <n v="0"/>
    <m/>
    <x v="61"/>
    <m/>
    <m/>
    <m/>
    <n v="0"/>
    <m/>
    <m/>
    <x v="50"/>
    <m/>
    <e v="#DIV/0!"/>
    <m/>
    <x v="0"/>
    <n v="0"/>
    <n v="0"/>
    <n v="0"/>
    <n v="0"/>
    <m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Bougainvillées"/>
    <s v="St Joseph"/>
    <s v="CA SUD"/>
    <x v="7"/>
    <m/>
    <s v="JER"/>
    <s v="EGI"/>
    <s v="PRO"/>
    <m/>
    <s v="BT 607"/>
    <s v="BT 130 / 319 / 111 : seule la BT 111 existe encore à ce jour_x000a_manque justificatifs des autres parcelles_x000a_récupérer fiche immeuble"/>
    <s v="SODEGIS"/>
    <s v="HOAREAU"/>
    <d v="1995-08-03T00:00:00"/>
    <m/>
    <m/>
    <m/>
    <m/>
    <m/>
    <m/>
    <m/>
    <m/>
    <m/>
    <m/>
    <m/>
    <m/>
    <m/>
    <m/>
    <s v="Rehab"/>
    <n v="26"/>
    <m/>
    <m/>
    <m/>
    <n v="26"/>
    <m/>
    <m/>
    <m/>
    <m/>
    <m/>
    <m/>
    <m/>
    <m/>
    <m/>
    <m/>
    <m/>
    <m/>
    <m/>
    <m/>
    <m/>
    <m/>
    <m/>
    <m/>
    <m/>
    <d v="2017-09-27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8-04-01T00:00:00"/>
    <m/>
    <n v="6.2"/>
    <n v="12"/>
    <n v="13"/>
    <n v="12"/>
    <n v="13"/>
    <n v="0"/>
    <n v="0"/>
    <m/>
    <n v="0"/>
    <m/>
    <d v="2019-04-01T00:00:00"/>
    <d v="2019-04-01T00:00:00"/>
    <d v="1901-12-31T00:00:00"/>
    <m/>
    <m/>
    <d v="2019-05-01T00:00:00"/>
    <d v="2019-05-01T00:00:00"/>
    <m/>
    <m/>
    <m/>
    <m/>
    <m/>
    <m/>
    <m/>
    <m/>
    <m/>
    <m/>
    <m/>
    <m/>
    <m/>
    <m/>
    <m/>
    <m/>
    <m/>
    <m/>
    <m/>
    <m/>
    <m/>
    <d v="2016-10-06T00:00:00"/>
    <m/>
    <m/>
    <s v="0"/>
    <d v="2017-04-14T00:00:00"/>
    <d v="2017-05-24T00:00:00"/>
    <n v="40"/>
    <d v="2017-03-20T00:00:00"/>
    <d v="2017-02-27T00:00:00"/>
    <n v="-21"/>
    <d v="2017-04-19T00:00:00"/>
    <d v="2018-03-04T00:00:00"/>
    <n v="319"/>
    <d v="2017-08-18T00:00:00"/>
    <d v="2018-03-04T00:00:00"/>
    <n v="198"/>
    <m/>
    <d v="2017-12-14T00:00:00"/>
    <d v="2018-03-04T00:00:00"/>
    <n v="80"/>
    <d v="2017-12-21T00:00:00"/>
    <d v="2018-03-04T00:00:00"/>
    <n v="73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12-20T00:00:00"/>
    <d v="2019-04-01T00:00:00"/>
    <n v="21.866666666666667"/>
    <d v="2020-01-20T00:00:00"/>
    <d v="2019-05-01T00:00:00"/>
    <n v="0"/>
    <n v="0"/>
    <m/>
    <m/>
    <n v="22.966666666666665"/>
    <n v="-8.8000000000000007"/>
    <m/>
    <m/>
    <m/>
    <m/>
    <m/>
    <m/>
    <n v="0"/>
    <n v="0"/>
    <m/>
    <e v="#DIV/0!"/>
    <n v="0"/>
    <m/>
    <m/>
    <m/>
    <m/>
    <m/>
    <m/>
    <x v="59"/>
    <n v="0"/>
    <n v="0"/>
    <m/>
    <x v="61"/>
    <m/>
    <m/>
    <m/>
    <n v="0"/>
    <m/>
    <m/>
    <x v="50"/>
    <m/>
    <e v="#DIV/0!"/>
    <m/>
    <x v="0"/>
    <n v="0"/>
    <n v="0"/>
    <n v="0"/>
    <n v="0"/>
    <m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aramboles"/>
    <s v="Entre-Deux"/>
    <s v="CA SUD"/>
    <x v="7"/>
    <m/>
    <s v="JER"/>
    <s v="NLE"/>
    <s v="PRO"/>
    <m/>
    <s v="AP 1375"/>
    <s v="AP 513 / AS 63 - 64 - n'existent plus au cadastre / manque des justificatifs_x000a_récupérer fiche immeuble"/>
    <s v="SODEGIS"/>
    <s v="Hoarau"/>
    <d v="1995-12-16T00:00:00"/>
    <m/>
    <m/>
    <m/>
    <m/>
    <m/>
    <m/>
    <m/>
    <m/>
    <m/>
    <m/>
    <m/>
    <m/>
    <m/>
    <m/>
    <s v="Rehab"/>
    <n v="6"/>
    <m/>
    <m/>
    <m/>
    <n v="6"/>
    <m/>
    <m/>
    <m/>
    <m/>
    <m/>
    <m/>
    <m/>
    <m/>
    <m/>
    <m/>
    <m/>
    <m/>
    <m/>
    <m/>
    <m/>
    <m/>
    <m/>
    <m/>
    <m/>
    <d v="2017-09-27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8-04-01T00:00:00"/>
    <m/>
    <n v="6.2"/>
    <n v="12"/>
    <n v="13"/>
    <n v="12"/>
    <n v="13"/>
    <n v="0"/>
    <n v="0"/>
    <m/>
    <n v="0"/>
    <m/>
    <d v="2019-04-01T00:00:00"/>
    <d v="2019-04-01T00:00:00"/>
    <d v="1901-12-31T00:00:00"/>
    <m/>
    <m/>
    <d v="2019-05-01T00:00:00"/>
    <d v="2019-05-01T00:00:00"/>
    <m/>
    <m/>
    <m/>
    <m/>
    <m/>
    <m/>
    <m/>
    <m/>
    <m/>
    <m/>
    <m/>
    <m/>
    <m/>
    <m/>
    <m/>
    <m/>
    <m/>
    <m/>
    <m/>
    <m/>
    <m/>
    <d v="2016-10-06T00:00:00"/>
    <m/>
    <m/>
    <s v="0"/>
    <d v="2017-06-15T00:00:00"/>
    <d v="2017-05-29T00:00:00"/>
    <n v="-17"/>
    <d v="2017-03-20T00:00:00"/>
    <d v="2017-05-26T00:00:00"/>
    <n v="67"/>
    <d v="2017-08-25T00:00:00"/>
    <d v="2018-03-04T00:00:00"/>
    <n v="191"/>
    <d v="2017-08-25T00:00:00"/>
    <d v="2018-03-04T00:00:00"/>
    <n v="191"/>
    <m/>
    <d v="2017-12-05T00:00:00"/>
    <d v="2018-03-04T00:00:00"/>
    <n v="89"/>
    <d v="2017-12-12T00:00:00"/>
    <d v="2018-03-04T00:00:00"/>
    <n v="82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12-12T00:00:00"/>
    <d v="2019-04-01T00:00:00"/>
    <n v="21.6"/>
    <d v="2020-01-10T00:00:00"/>
    <d v="2019-05-01T00:00:00"/>
    <n v="0"/>
    <n v="0"/>
    <m/>
    <m/>
    <n v="20.100000000000001"/>
    <n v="-8.4666666666666668"/>
    <m/>
    <m/>
    <s v="lancement AO sem 26/02 - voir avec TGI pour enlever toiture du DCE"/>
    <s v="AO à lancer sem 22/01 / voir pour modifier pièces concernant visite obligatoire"/>
    <m/>
    <m/>
    <n v="0"/>
    <n v="0"/>
    <m/>
    <e v="#DIV/0!"/>
    <n v="0"/>
    <m/>
    <m/>
    <m/>
    <m/>
    <m/>
    <m/>
    <x v="59"/>
    <n v="0"/>
    <n v="0"/>
    <m/>
    <x v="61"/>
    <m/>
    <m/>
    <m/>
    <n v="0"/>
    <m/>
    <m/>
    <x v="50"/>
    <m/>
    <e v="#DIV/0!"/>
    <m/>
    <x v="0"/>
    <n v="0"/>
    <n v="0"/>
    <n v="0"/>
    <n v="0"/>
    <m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Bras Moutons "/>
    <s v="St Leu"/>
    <s v="TCO"/>
    <x v="7"/>
    <s v="PRLC 0159"/>
    <s v="OET"/>
    <s v="DBE"/>
    <s v="PRO"/>
    <s v="oui"/>
    <s v="CF 549"/>
    <s v="compromis signé / pb d'accès / faire signer avenant de prorogation de compromis (Commune OK) - portage jusqu'à mai 2018_x000a_pb évacuation EP : riverain demande de l'argent / OET doit voir une entreprise pour faire un devis +  propriété communale du chemin (Mairie attend accord préfecture pour classer voirie)"/>
    <s v="Commune"/>
    <s v="BARET/GILLOT"/>
    <m/>
    <n v="4113"/>
    <n v="205650"/>
    <n v="189641"/>
    <n v="10823.684210526315"/>
    <n v="50"/>
    <n v="46.107707269632868"/>
    <n v="114.25189023104498"/>
    <n v="9981.105263157895"/>
    <n v="216.47368421052633"/>
    <m/>
    <n v="0.40356187697544371"/>
    <s v="UC"/>
    <m/>
    <m/>
    <s v="LLTS"/>
    <n v="19"/>
    <m/>
    <n v="19"/>
    <m/>
    <m/>
    <n v="1680.48"/>
    <n v="1659.85"/>
    <n v="87.360526315789471"/>
    <m/>
    <m/>
    <n v="0.15789473684210525"/>
    <n v="0.63157894736842102"/>
    <n v="0.21052631578947367"/>
    <m/>
    <m/>
    <n v="0"/>
    <n v="1.5"/>
    <s v="collectif"/>
    <m/>
    <s v="20/02/2014_x000a_02/07/14_x000a_26/08/15_x000a_01/02/17"/>
    <d v="2016-04-15T00:00:00"/>
    <s v="INTERINVEST"/>
    <s v="SNC ALESIA 1"/>
    <m/>
    <d v="2017-10-06T00:00:00"/>
    <d v="2017-11-06T00:00:00"/>
    <m/>
    <m/>
    <m/>
    <m/>
    <m/>
    <m/>
    <m/>
    <m/>
    <d v="1901-12-31T00:00:00"/>
    <d v="1902-12-31T00:00:00"/>
    <m/>
    <m/>
    <m/>
    <m/>
    <m/>
    <m/>
    <m/>
    <s v="BARET/GILLOT"/>
    <s v="Risque de recours des 1/3 sur PA (en cours de signature par le maire"/>
    <m/>
    <m/>
    <e v="#VALUE!"/>
    <m/>
    <m/>
    <s v="SO"/>
    <m/>
    <m/>
    <d v="2018-09-18T00:00:00"/>
    <m/>
    <n v="11.566666666666666"/>
    <n v="18"/>
    <n v="19"/>
    <n v="18"/>
    <n v="19"/>
    <n v="0"/>
    <n v="0"/>
    <m/>
    <n v="0"/>
    <m/>
    <d v="2020-03-18T00:00:00"/>
    <d v="2020-03-18T00:00:00"/>
    <d v="1901-12-31T00:00:00"/>
    <m/>
    <m/>
    <d v="2020-04-18T00:00:00"/>
    <d v="2020-04-18T00:00:00"/>
    <m/>
    <m/>
    <m/>
    <m/>
    <m/>
    <m/>
    <m/>
    <m/>
    <m/>
    <m/>
    <m/>
    <m/>
    <m/>
    <m/>
    <m/>
    <m/>
    <m/>
    <m/>
    <m/>
    <m/>
    <m/>
    <d v="2013-10-29T00:00:00"/>
    <d v="2013-11-15T00:00:00"/>
    <d v="2013-10-29T00:00:00"/>
    <n v="-17"/>
    <d v="2015-02-20T00:00:00"/>
    <d v="2015-02-06T00:00:00"/>
    <n v="-14"/>
    <d v="2015-03-27T00:00:00"/>
    <d v="2015-09-07T00:00:00"/>
    <n v="164"/>
    <d v="2018-02-09T00:00:00"/>
    <d v="2018-03-04T00:00:00"/>
    <n v="23"/>
    <d v="2018-01-29T00:00:00"/>
    <d v="2018-03-04T00:00:00"/>
    <n v="34"/>
    <m/>
    <d v="2018-09-03T00:00:00"/>
    <d v="2018-09-03T00:00:00"/>
    <n v="0"/>
    <d v="2018-09-18T00:00:00"/>
    <d v="2018-09-18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3-11T00:00:00"/>
    <d v="2020-03-18T00:00:00"/>
    <n v="18"/>
    <d v="2020-04-10T00:00:00"/>
    <d v="2020-04-18T00:00:00"/>
    <n v="190000"/>
    <n v="190000"/>
    <m/>
    <m/>
    <n v="6.333333333333333"/>
    <n v="0.26666666666666666"/>
    <m/>
    <m/>
    <m/>
    <m/>
    <m/>
    <m/>
    <n v="3724917"/>
    <n v="3724917.85"/>
    <n v="0.85000000009313226"/>
    <n v="2216.5791916595258"/>
    <n v="196048.26315789475"/>
    <n v="3147257.0568200001"/>
    <n v="3147257.0568200001"/>
    <n v="0"/>
    <n v="0.86266317390414926"/>
    <n v="0.39750000000000002"/>
    <n v="1080509"/>
    <x v="60"/>
    <n v="56868.894736842107"/>
    <n v="54176.530000000028"/>
    <n v="1954408"/>
    <x v="62"/>
    <n v="421720.5"/>
    <n v="1478511.82"/>
    <n v="-54175.679999999935"/>
    <n v="102863.57894736843"/>
    <m/>
    <n v="500000"/>
    <x v="25"/>
    <m/>
    <n v="0.1342311788423742"/>
    <m/>
    <x v="1"/>
    <n v="0"/>
    <n v="26315.78947368421"/>
    <n v="83184.68421052632"/>
    <n v="0"/>
    <n v="5.14"/>
    <n v="5.12"/>
    <n v="837039.04799999995"/>
    <n v="380000"/>
    <n v="103184.68421052632"/>
    <n v="237556.40000000002"/>
    <n v="118539.04894736843"/>
    <n v="0.50071226129380131"/>
    <n v="172078.72739999997"/>
    <m/>
    <x v="29"/>
    <n v="4561956.0480000004"/>
    <n v="184741"/>
    <n v="66507"/>
    <d v="2014-02-07T00:00:00"/>
    <n v="15217"/>
    <m/>
    <m/>
    <d v="2015-08-31T00:00:00"/>
    <n v="7608"/>
    <m/>
    <n v="15217"/>
    <d v="2017-12-13T00:00:00"/>
    <n v="28465"/>
    <m/>
    <m/>
    <m/>
    <m/>
    <m/>
    <m/>
    <m/>
    <m/>
    <m/>
    <m/>
    <m/>
    <m/>
    <m/>
    <m/>
    <m/>
    <m/>
    <m/>
    <m/>
    <n v="15217"/>
    <m/>
    <m/>
    <m/>
    <m/>
    <m/>
  </r>
  <r>
    <s v="Fourragères "/>
    <s v="Avirons"/>
    <s v="CIVIS"/>
    <x v="7"/>
    <s v="PRLC 0184"/>
    <s v="FVA"/>
    <s v="GGO"/>
    <s v="AO"/>
    <m/>
    <s v="AD 133"/>
    <s v="avenant 1 EPFR  signé - acquisition à mai 2018"/>
    <m/>
    <m/>
    <m/>
    <n v="5443"/>
    <n v="381010"/>
    <n v="381010"/>
    <n v="18143.333333333332"/>
    <n v="70"/>
    <n v="70"/>
    <n v="238.72208716573519"/>
    <n v="18143.333333333332"/>
    <n v="259.1904761904762"/>
    <m/>
    <n v="0.29322799926511117"/>
    <m/>
    <n v="900"/>
    <m/>
    <s v="LLTS"/>
    <n v="21"/>
    <m/>
    <n v="21"/>
    <m/>
    <m/>
    <n v="1580.35"/>
    <n v="1596.04"/>
    <n v="76.001904761904754"/>
    <m/>
    <m/>
    <m/>
    <m/>
    <m/>
    <m/>
    <m/>
    <m/>
    <m/>
    <s v="MDV"/>
    <m/>
    <d v="2017-01-26T00:00:00"/>
    <m/>
    <m/>
    <m/>
    <m/>
    <d v="2017-10-09T00:00:00"/>
    <d v="2017-11-06T00:00:00"/>
    <m/>
    <m/>
    <m/>
    <d v="2017-11-03T00:00:00"/>
    <m/>
    <m/>
    <m/>
    <m/>
    <d v="1901-12-31T00:00:00"/>
    <d v="1902-12-31T00:00:00"/>
    <m/>
    <m/>
    <m/>
    <m/>
    <m/>
    <m/>
    <m/>
    <m/>
    <m/>
    <m/>
    <m/>
    <d v="1901-06-30T00:00:00"/>
    <m/>
    <m/>
    <s v="SO"/>
    <m/>
    <m/>
    <d v="2018-05-28T00:00:00"/>
    <m/>
    <n v="7.7"/>
    <n v="16"/>
    <n v="17"/>
    <n v="16"/>
    <n v="17"/>
    <n v="0"/>
    <n v="0"/>
    <m/>
    <n v="0"/>
    <m/>
    <d v="2019-09-28T00:00:00"/>
    <d v="2019-09-28T00:00:00"/>
    <d v="1901-12-31T00:00:00"/>
    <m/>
    <m/>
    <d v="2019-10-28T00:00:00"/>
    <d v="2019-10-28T00:00:00"/>
    <m/>
    <m/>
    <m/>
    <m/>
    <m/>
    <m/>
    <m/>
    <m/>
    <m/>
    <m/>
    <m/>
    <m/>
    <m/>
    <m/>
    <m/>
    <m/>
    <m/>
    <m/>
    <m/>
    <m/>
    <m/>
    <d v="2016-08-03T00:00:00"/>
    <d v="2016-08-18T00:00:00"/>
    <d v="2016-08-03T00:00:00"/>
    <n v="-15"/>
    <d v="2017-01-05T00:00:00"/>
    <d v="2017-01-16T00:00:00"/>
    <n v="11"/>
    <d v="2017-01-16T00:00:00"/>
    <d v="2017-01-09T00:00:00"/>
    <n v="-7"/>
    <d v="2017-03-09T00:00:00"/>
    <d v="2017-04-12T00:00:00"/>
    <n v="34"/>
    <d v="2017-06-09T00:00:00"/>
    <d v="2017-07-31T00:00:00"/>
    <n v="52"/>
    <m/>
    <d v="2018-02-13T00:00:00"/>
    <d v="2018-03-04T00:00:00"/>
    <n v="19"/>
    <d v="2018-02-28T00:00:00"/>
    <d v="2018-03-04T00:00:00"/>
    <n v="4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06-21T00:00:00"/>
    <d v="2019-09-28T00:00:00"/>
    <n v="15.8"/>
    <d v="2019-07-23T00:00:00"/>
    <d v="2019-10-28T00:00:00"/>
    <n v="200000"/>
    <n v="200000"/>
    <m/>
    <m/>
    <n v="3.2666666666666666"/>
    <n v="3.2333333333333334"/>
    <m/>
    <m/>
    <m/>
    <s v="retard lancement AO : pb ramassage ordures ménagères_x000a_faire la demande de prêt"/>
    <m/>
    <m/>
    <n v="3874931.87"/>
    <n v="3876686"/>
    <n v="1754.1299999998882"/>
    <n v="2451.9453728604426"/>
    <n v="184520.56523809524"/>
    <m/>
    <n v="3634508"/>
    <n v="3634508"/>
    <n v="0.95721775454602198"/>
    <m/>
    <n v="1246192.3500000001"/>
    <x v="61"/>
    <n v="59342.492857142861"/>
    <n v="-35629.350000000093"/>
    <n v="1810436.52"/>
    <x v="63"/>
    <n v="588152"/>
    <n v="1259668"/>
    <n v="37383.479999999981"/>
    <n v="86211.262857142865"/>
    <m/>
    <n v="504000"/>
    <x v="51"/>
    <m/>
    <n v="0.1300668029551704"/>
    <m/>
    <x v="25"/>
    <n v="0"/>
    <n v="24000"/>
    <n v="83342.492857142861"/>
    <n v="0"/>
    <n v="5.35"/>
    <n v="5.34"/>
    <m/>
    <m/>
    <n v="83342.492857142861"/>
    <m/>
    <n v="81645.857142857145"/>
    <n v="0.45167048317677905"/>
    <m/>
    <m/>
    <x v="30"/>
    <n v="3874931.87"/>
    <n v="191612"/>
    <n v="105386"/>
    <d v="2016-07-28T00:00:00"/>
    <n v="17147"/>
    <m/>
    <m/>
    <d v="2016-12-12T00:00:00"/>
    <n v="0"/>
    <d v="2016-12-12T00:00:00"/>
    <n v="28305"/>
    <d v="2017-03-24T00:00:00"/>
    <n v="21612"/>
    <n v="42915"/>
    <n v="28742"/>
    <m/>
    <m/>
    <d v="2017-09-11T00:00:00"/>
    <n v="9580"/>
    <m/>
    <m/>
    <m/>
    <m/>
    <m/>
    <m/>
    <m/>
    <m/>
    <m/>
    <m/>
    <m/>
    <m/>
    <n v="28305"/>
    <m/>
    <m/>
    <m/>
    <m/>
    <m/>
  </r>
  <r>
    <s v="VEFA CROUS St Pierre"/>
    <s v="St Pierre"/>
    <s v="CIVIS"/>
    <x v="7"/>
    <s v="PRLC 0193"/>
    <s v="FVA"/>
    <s v="GGO"/>
    <s v="Tvx"/>
    <m/>
    <s v="EN 1337 p"/>
    <m/>
    <m/>
    <m/>
    <m/>
    <n v="3474"/>
    <n v="1"/>
    <m/>
    <n v="5.0000000000000001E-3"/>
    <n v="2.878526194588371E-4"/>
    <n v="0"/>
    <n v="0"/>
    <n v="0"/>
    <n v="17.37"/>
    <m/>
    <n v="1.166076568796776"/>
    <m/>
    <n v="70"/>
    <m/>
    <s v="PLS"/>
    <n v="200"/>
    <m/>
    <m/>
    <n v="200"/>
    <m/>
    <n v="4327.3599999999997"/>
    <n v="4050.95"/>
    <s v="                                                                                           "/>
    <m/>
    <m/>
    <m/>
    <m/>
    <m/>
    <m/>
    <m/>
    <m/>
    <m/>
    <s v="collectif"/>
    <s v="oui"/>
    <m/>
    <m/>
    <m/>
    <m/>
    <m/>
    <d v="2017-10-16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d v="2019-08-16T00:00:00"/>
    <n v="0"/>
    <m/>
    <d v="2017-12-22T00:00:00"/>
    <n v="2017"/>
    <n v="2.2333333333333334"/>
    <n v="18"/>
    <n v="19"/>
    <n v="18"/>
    <n v="19"/>
    <n v="0"/>
    <n v="0"/>
    <m/>
    <n v="0"/>
    <m/>
    <d v="2019-06-22T00:00:00"/>
    <d v="2019-06-22T00:00:00"/>
    <d v="1901-12-31T00:00:00"/>
    <m/>
    <m/>
    <d v="2019-07-22T00:00:00"/>
    <d v="2019-08-16T00:00:00"/>
    <m/>
    <m/>
    <m/>
    <m/>
    <m/>
    <m/>
    <m/>
    <m/>
    <m/>
    <m/>
    <m/>
    <m/>
    <m/>
    <m/>
    <m/>
    <m/>
    <m/>
    <m/>
    <m/>
    <m/>
    <m/>
    <m/>
    <m/>
    <m/>
    <s v="0"/>
    <d v="2017-02-06T00:00:00"/>
    <d v="2017-05-16T00:00:00"/>
    <n v="99"/>
    <m/>
    <m/>
    <s v="0"/>
    <m/>
    <m/>
    <s v="0"/>
    <m/>
    <m/>
    <s v="0"/>
    <m/>
    <d v="2017-06-01T00:00:00"/>
    <d v="2017-12-27T00:00:00"/>
    <n v="209"/>
    <d v="2017-06-15T00:00:00"/>
    <d v="2017-12-22T00:00:00"/>
    <n v="19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08-16T00:00:00"/>
    <d v="2019-06-22T00:00:00"/>
    <n v="20.066666666666666"/>
    <d v="2019-08-19T00:00:00"/>
    <d v="2019-08-16T00:00:00"/>
    <n v="0"/>
    <n v="0"/>
    <m/>
    <m/>
    <n v="16.600000000000001"/>
    <n v="-0.1"/>
    <m/>
    <m/>
    <m/>
    <m/>
    <m/>
    <m/>
    <n v="15377280.710000001"/>
    <n v="11616559.710000001"/>
    <n v="-3760721"/>
    <n v="3553.5016060600465"/>
    <n v="76886.403550000003"/>
    <m/>
    <m/>
    <n v="0"/>
    <n v="0"/>
    <m/>
    <n v="0"/>
    <x v="62"/>
    <n v="0"/>
    <n v="3306813"/>
    <n v="10921593"/>
    <x v="64"/>
    <m/>
    <m/>
    <n v="-5067534"/>
    <n v="54607.964999999997"/>
    <m/>
    <n v="2000000"/>
    <x v="50"/>
    <m/>
    <n v="0.13006200756284431"/>
    <m/>
    <x v="26"/>
    <n v="-2000000"/>
    <n v="10000"/>
    <n v="10000"/>
    <n v="-10000"/>
    <m/>
    <m/>
    <m/>
    <m/>
    <n v="10000"/>
    <m/>
    <n v="16534.064999999999"/>
    <n v="0.13006200756284431"/>
    <m/>
    <m/>
    <x v="8"/>
    <n v="15377280.710000001"/>
    <n v="364819"/>
    <n v="182410"/>
    <m/>
    <m/>
    <m/>
    <m/>
    <d v="2016-12-23T00:00:00"/>
    <n v="51495"/>
    <d v="2017-06-09T00:00:00"/>
    <n v="34330"/>
    <d v="2017-12-05T00:00:00"/>
    <n v="41862"/>
    <m/>
    <m/>
    <m/>
    <m/>
    <m/>
    <m/>
    <d v="2017-12-23T00:00:00"/>
    <n v="54723"/>
    <m/>
    <m/>
    <m/>
    <m/>
    <m/>
    <m/>
    <m/>
    <m/>
    <m/>
    <m/>
    <n v="34330"/>
    <m/>
    <m/>
    <m/>
    <m/>
    <m/>
  </r>
  <r>
    <s v="VEFA CROUS Tampon"/>
    <s v="Tampon"/>
    <s v="CA SUD"/>
    <x v="7"/>
    <s v="PRLC 0194"/>
    <s v="FVA"/>
    <s v="GGO"/>
    <s v="PRO"/>
    <m/>
    <s v="BW 683 p"/>
    <m/>
    <m/>
    <m/>
    <m/>
    <n v="1952"/>
    <n v="1"/>
    <m/>
    <n v="0.01"/>
    <n v="5.1229508196721314E-4"/>
    <n v="0"/>
    <n v="0"/>
    <n v="0"/>
    <n v="19.52"/>
    <m/>
    <n v="0.98538422131147541"/>
    <m/>
    <n v="500"/>
    <m/>
    <s v="PLS"/>
    <n v="100"/>
    <m/>
    <m/>
    <n v="100"/>
    <m/>
    <n v="1868.31"/>
    <n v="1923.47"/>
    <n v="19.2347"/>
    <m/>
    <m/>
    <m/>
    <m/>
    <m/>
    <m/>
    <m/>
    <m/>
    <m/>
    <s v="collectif"/>
    <s v="oui"/>
    <m/>
    <m/>
    <m/>
    <m/>
    <m/>
    <d v="2017-10-16T00:00:00"/>
    <d v="2018-01-16T00:00:00"/>
    <m/>
    <m/>
    <m/>
    <m/>
    <m/>
    <m/>
    <d v="2018-03-01T00:00:00"/>
    <m/>
    <d v="1901-12-31T00:00:00"/>
    <d v="1902-12-31T00:00:00"/>
    <m/>
    <m/>
    <m/>
    <m/>
    <m/>
    <m/>
    <m/>
    <m/>
    <m/>
    <m/>
    <m/>
    <m/>
    <m/>
    <m/>
    <m/>
    <n v="1456.4"/>
    <m/>
    <d v="2018-03-15T00:00:00"/>
    <m/>
    <n v="5"/>
    <n v="16"/>
    <n v="17"/>
    <n v="16"/>
    <n v="17"/>
    <n v="0"/>
    <n v="0"/>
    <m/>
    <n v="0"/>
    <m/>
    <d v="2019-07-15T00:00:00"/>
    <d v="2019-07-15T00:00:00"/>
    <d v="1901-12-31T00:00:00"/>
    <m/>
    <m/>
    <d v="2019-08-15T00:00:00"/>
    <d v="2019-08-15T00:00:00"/>
    <m/>
    <m/>
    <m/>
    <m/>
    <m/>
    <m/>
    <m/>
    <m/>
    <m/>
    <m/>
    <m/>
    <m/>
    <m/>
    <m/>
    <m/>
    <m/>
    <m/>
    <m/>
    <m/>
    <m/>
    <m/>
    <m/>
    <m/>
    <m/>
    <s v="0"/>
    <d v="2017-02-09T00:00:00"/>
    <d v="2017-05-16T00:00:00"/>
    <n v="96"/>
    <m/>
    <m/>
    <s v="0"/>
    <m/>
    <m/>
    <s v="0"/>
    <m/>
    <m/>
    <s v="0"/>
    <m/>
    <m/>
    <m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8-02-18T00:00:00"/>
    <d v="2019-07-15T00:00:00"/>
    <e v="#NUM!"/>
    <d v="2019-08-19T00:00:00"/>
    <d v="2019-08-15T00:00:00"/>
    <n v="0"/>
    <n v="0"/>
    <m/>
    <m/>
    <n v="3.2"/>
    <n v="-0.13333333333333333"/>
    <m/>
    <m/>
    <m/>
    <s v="contrat de prêt à recevoir en février 2018 / délib garantie CM 24/02 / VEFA à signer fin fév 18 au + tard"/>
    <m/>
    <m/>
    <n v="6236911"/>
    <n v="6236911"/>
    <n v="0"/>
    <n v="3338.263457349155"/>
    <n v="62369.11"/>
    <m/>
    <m/>
    <n v="0"/>
    <n v="0"/>
    <n v="0.4"/>
    <n v="1736993"/>
    <x v="63"/>
    <n v="17369.93"/>
    <m/>
    <n v="3189669"/>
    <x v="65"/>
    <m/>
    <m/>
    <n v="0"/>
    <n v="31896.69"/>
    <m/>
    <m/>
    <x v="50"/>
    <m/>
    <n v="0"/>
    <m/>
    <x v="27"/>
    <n v="0"/>
    <n v="0"/>
    <n v="17369.93"/>
    <n v="0"/>
    <n v="6.31"/>
    <m/>
    <m/>
    <m/>
    <n v="17369.93"/>
    <m/>
    <n v="17369.93"/>
    <n v="0.27850213030136234"/>
    <m/>
    <m/>
    <x v="8"/>
    <n v="6236911"/>
    <n v="196296"/>
    <n v="68704"/>
    <m/>
    <m/>
    <m/>
    <m/>
    <m/>
    <m/>
    <d v="2016-12-31T00:00:00"/>
    <n v="46179"/>
    <d v="2017-12-05T00:00:00"/>
    <n v="22525"/>
    <m/>
    <m/>
    <m/>
    <m/>
    <m/>
    <m/>
    <m/>
    <m/>
    <m/>
    <m/>
    <m/>
    <m/>
    <m/>
    <m/>
    <m/>
    <m/>
    <m/>
    <m/>
    <n v="46179"/>
    <m/>
    <m/>
    <m/>
    <m/>
    <m/>
  </r>
  <r>
    <s v="Citronnelles"/>
    <s v="Tampon"/>
    <s v="CA SUD"/>
    <x v="7"/>
    <m/>
    <s v="JER"/>
    <s v="NLE"/>
    <s v="PRO"/>
    <m/>
    <s v="BK 1082"/>
    <s v="RAS"/>
    <s v="SODEGIS"/>
    <s v="HOAREAU"/>
    <d v="1993-02-08T00:00:00"/>
    <m/>
    <m/>
    <m/>
    <m/>
    <m/>
    <m/>
    <m/>
    <m/>
    <m/>
    <m/>
    <m/>
    <m/>
    <m/>
    <m/>
    <s v="Rehab"/>
    <n v="45"/>
    <m/>
    <m/>
    <m/>
    <n v="45"/>
    <m/>
    <m/>
    <m/>
    <m/>
    <m/>
    <m/>
    <m/>
    <m/>
    <m/>
    <m/>
    <m/>
    <m/>
    <m/>
    <m/>
    <m/>
    <m/>
    <m/>
    <m/>
    <m/>
    <d v="2017-10-24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8-04-01T00:00:00"/>
    <m/>
    <n v="5.3"/>
    <n v="12"/>
    <n v="13"/>
    <n v="12"/>
    <n v="13"/>
    <n v="0"/>
    <n v="0"/>
    <m/>
    <n v="0"/>
    <m/>
    <d v="2019-04-01T00:00:00"/>
    <d v="2019-04-01T00:00:00"/>
    <d v="1901-12-31T00:00:00"/>
    <m/>
    <m/>
    <d v="2019-05-01T00:00:00"/>
    <d v="2019-05-01T00:00:00"/>
    <m/>
    <m/>
    <m/>
    <m/>
    <m/>
    <m/>
    <m/>
    <m/>
    <m/>
    <m/>
    <m/>
    <m/>
    <m/>
    <m/>
    <m/>
    <m/>
    <m/>
    <m/>
    <m/>
    <m/>
    <m/>
    <d v="2016-10-06T00:00:00"/>
    <m/>
    <m/>
    <s v="0"/>
    <d v="2017-05-17T00:00:00"/>
    <d v="2017-05-25T00:00:00"/>
    <n v="8"/>
    <d v="2017-03-20T00:00:00"/>
    <d v="2017-04-28T00:00:00"/>
    <n v="39"/>
    <d v="2017-05-22T00:00:00"/>
    <d v="2018-03-04T00:00:00"/>
    <n v="286"/>
    <d v="2017-08-15T00:00:00"/>
    <d v="2018-03-04T00:00:00"/>
    <n v="201"/>
    <m/>
    <d v="2017-12-05T00:00:00"/>
    <d v="2018-03-04T00:00:00"/>
    <n v="89"/>
    <d v="2017-12-12T00:00:00"/>
    <d v="2018-03-04T00:00:00"/>
    <n v="82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12-12T00:00:00"/>
    <d v="2019-04-01T00:00:00"/>
    <n v="21.6"/>
    <d v="2020-01-10T00:00:00"/>
    <d v="2019-05-01T00:00:00"/>
    <n v="0"/>
    <n v="0"/>
    <m/>
    <m/>
    <n v="23.5"/>
    <n v="-8.4666666666666668"/>
    <m/>
    <m/>
    <s v="AO lancé 13/02 - réception offres 13/03"/>
    <m/>
    <m/>
    <m/>
    <n v="0"/>
    <n v="0"/>
    <m/>
    <e v="#DIV/0!"/>
    <n v="0"/>
    <m/>
    <m/>
    <m/>
    <m/>
    <m/>
    <m/>
    <x v="59"/>
    <n v="0"/>
    <n v="0"/>
    <m/>
    <x v="61"/>
    <m/>
    <m/>
    <m/>
    <n v="0"/>
    <m/>
    <m/>
    <x v="50"/>
    <m/>
    <e v="#DIV/0!"/>
    <m/>
    <x v="0"/>
    <n v="0"/>
    <n v="0"/>
    <n v="0"/>
    <n v="0"/>
    <m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Bras des Etangs"/>
    <s v="Cilaos"/>
    <s v="CIVIS"/>
    <x v="7"/>
    <m/>
    <s v="JER"/>
    <s v="EGI"/>
    <s v="PRO"/>
    <m/>
    <s v="AI 1718"/>
    <s v="AE 44 / 45 /  46 / 48 n'existent plus au cadastre_x000a_récupérer fiche immeuble"/>
    <s v="SODEGIS"/>
    <s v="Hoarau"/>
    <d v="1997-05-19T00:00:00"/>
    <m/>
    <m/>
    <m/>
    <m/>
    <m/>
    <m/>
    <m/>
    <m/>
    <m/>
    <m/>
    <m/>
    <m/>
    <m/>
    <m/>
    <s v="Rehab"/>
    <n v="31"/>
    <m/>
    <m/>
    <m/>
    <n v="31"/>
    <m/>
    <m/>
    <m/>
    <m/>
    <m/>
    <m/>
    <m/>
    <m/>
    <m/>
    <m/>
    <m/>
    <m/>
    <m/>
    <m/>
    <m/>
    <m/>
    <m/>
    <m/>
    <m/>
    <d v="2017-10-31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8-04-01T00:00:00"/>
    <m/>
    <n v="5.0666666666666664"/>
    <n v="12"/>
    <n v="13"/>
    <n v="12"/>
    <n v="13"/>
    <n v="0"/>
    <n v="0"/>
    <m/>
    <n v="0"/>
    <m/>
    <d v="2019-04-01T00:00:00"/>
    <d v="2019-04-01T00:00:00"/>
    <d v="1901-12-31T00:00:00"/>
    <m/>
    <m/>
    <d v="2019-05-01T00:00:00"/>
    <d v="2019-05-01T00:00:00"/>
    <m/>
    <m/>
    <m/>
    <m/>
    <m/>
    <m/>
    <m/>
    <m/>
    <m/>
    <m/>
    <m/>
    <m/>
    <m/>
    <m/>
    <m/>
    <m/>
    <m/>
    <m/>
    <m/>
    <m/>
    <m/>
    <d v="2016-09-19T00:00:00"/>
    <m/>
    <m/>
    <s v="0"/>
    <d v="2017-06-28T00:00:00"/>
    <d v="2017-05-29T00:00:00"/>
    <n v="-30"/>
    <d v="2017-03-15T00:00:00"/>
    <d v="2017-06-07T00:00:00"/>
    <n v="84"/>
    <d v="2017-08-25T00:00:00"/>
    <d v="2017-08-29T00:00:00"/>
    <n v="4"/>
    <d v="2017-08-30T00:00:00"/>
    <d v="2017-08-29T00:00:00"/>
    <n v="-1"/>
    <m/>
    <d v="2017-12-08T00:00:00"/>
    <d v="2018-03-04T00:00:00"/>
    <n v="86"/>
    <d v="2017-12-21T00:00:00"/>
    <d v="2018-03-04T00:00:00"/>
    <n v="73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12-20T00:00:00"/>
    <d v="2019-04-01T00:00:00"/>
    <n v="21.866666666666667"/>
    <d v="2020-01-20T00:00:00"/>
    <d v="2019-05-01T00:00:00"/>
    <n v="0"/>
    <n v="0"/>
    <m/>
    <m/>
    <n v="7.2"/>
    <n v="-8.8000000000000007"/>
    <m/>
    <m/>
    <s v="négo en cours"/>
    <m/>
    <m/>
    <m/>
    <n v="0"/>
    <n v="0"/>
    <m/>
    <e v="#DIV/0!"/>
    <n v="0"/>
    <m/>
    <m/>
    <m/>
    <m/>
    <m/>
    <m/>
    <x v="59"/>
    <n v="0"/>
    <n v="0"/>
    <m/>
    <x v="61"/>
    <m/>
    <m/>
    <m/>
    <n v="0"/>
    <m/>
    <m/>
    <x v="50"/>
    <m/>
    <e v="#DIV/0!"/>
    <m/>
    <x v="0"/>
    <n v="0"/>
    <n v="0"/>
    <n v="0"/>
    <n v="0"/>
    <m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Hubert Delisle"/>
    <s v="Tampon"/>
    <s v="CA SUD"/>
    <x v="7"/>
    <m/>
    <s v="JER"/>
    <s v="MMA"/>
    <s v="AO"/>
    <m/>
    <s v="BR 1091"/>
    <s v="pas de justificatif_x000a_récupérer fiche immeuble"/>
    <m/>
    <m/>
    <m/>
    <m/>
    <m/>
    <m/>
    <m/>
    <m/>
    <m/>
    <m/>
    <m/>
    <m/>
    <m/>
    <m/>
    <m/>
    <m/>
    <m/>
    <s v="Rehab"/>
    <n v="74"/>
    <m/>
    <m/>
    <m/>
    <n v="74"/>
    <m/>
    <m/>
    <m/>
    <m/>
    <m/>
    <m/>
    <m/>
    <m/>
    <m/>
    <m/>
    <m/>
    <m/>
    <m/>
    <m/>
    <m/>
    <m/>
    <m/>
    <m/>
    <m/>
    <d v="2017-10-31T00:00:00"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8-04-01T00:00:00"/>
    <m/>
    <n v="5.0666666666666664"/>
    <n v="12"/>
    <n v="13"/>
    <n v="12"/>
    <n v="13"/>
    <n v="0"/>
    <n v="0"/>
    <m/>
    <n v="0"/>
    <m/>
    <d v="2019-04-01T00:00:00"/>
    <d v="2019-04-01T00:00:00"/>
    <d v="1901-12-31T00:00:00"/>
    <m/>
    <m/>
    <d v="2019-05-01T00:00:00"/>
    <d v="2019-05-01T00:00:00"/>
    <m/>
    <m/>
    <m/>
    <m/>
    <m/>
    <m/>
    <m/>
    <m/>
    <m/>
    <m/>
    <m/>
    <m/>
    <m/>
    <m/>
    <m/>
    <m/>
    <m/>
    <m/>
    <m/>
    <m/>
    <m/>
    <d v="2016-09-19T00:00:00"/>
    <m/>
    <m/>
    <s v="0"/>
    <d v="2017-05-15T00:00:00"/>
    <d v="2017-05-24T00:00:00"/>
    <n v="9"/>
    <d v="2017-03-20T00:00:00"/>
    <d v="2017-04-26T00:00:00"/>
    <n v="37"/>
    <d v="2017-05-19T00:00:00"/>
    <d v="2017-07-19T00:00:00"/>
    <n v="61"/>
    <d v="2017-07-20T00:00:00"/>
    <d v="2017-07-19T00:00:00"/>
    <n v="-1"/>
    <m/>
    <d v="2017-12-05T00:00:00"/>
    <d v="2018-03-04T00:00:00"/>
    <n v="89"/>
    <d v="2017-12-12T00:00:00"/>
    <d v="2018-03-04T00:00:00"/>
    <n v="82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12-12T00:00:00"/>
    <d v="2019-04-01T00:00:00"/>
    <n v="21.6"/>
    <d v="2020-01-10T00:00:00"/>
    <d v="2019-05-01T00:00:00"/>
    <n v="0"/>
    <n v="0"/>
    <m/>
    <m/>
    <n v="9.2333333333333325"/>
    <n v="-8.4666666666666668"/>
    <m/>
    <m/>
    <s v="négo en cours"/>
    <m/>
    <m/>
    <m/>
    <n v="0"/>
    <n v="0"/>
    <m/>
    <e v="#DIV/0!"/>
    <n v="0"/>
    <m/>
    <m/>
    <m/>
    <m/>
    <m/>
    <m/>
    <x v="59"/>
    <n v="0"/>
    <n v="0"/>
    <m/>
    <x v="61"/>
    <m/>
    <m/>
    <m/>
    <n v="0"/>
    <m/>
    <m/>
    <x v="50"/>
    <m/>
    <e v="#DIV/0!"/>
    <m/>
    <x v="0"/>
    <n v="0"/>
    <n v="0"/>
    <n v="0"/>
    <n v="0"/>
    <m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asabianca"/>
    <s v="Entre-Deux"/>
    <s v="CA SUD"/>
    <x v="8"/>
    <m/>
    <s v="JER"/>
    <s v="NLE"/>
    <s v="Faisa"/>
    <m/>
    <s v="AP 1535"/>
    <s v="bail à construction sur AP 1558 qui concerne Foyer Casabianca"/>
    <s v="Entre-Deux"/>
    <s v="LE GOFF"/>
    <d v="2008-12-16T00:00:00"/>
    <m/>
    <m/>
    <m/>
    <m/>
    <m/>
    <m/>
    <m/>
    <m/>
    <m/>
    <m/>
    <m/>
    <m/>
    <m/>
    <m/>
    <s v="Rehab"/>
    <n v="16"/>
    <m/>
    <m/>
    <m/>
    <n v="16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9-10-15T00:00:00"/>
    <m/>
    <n v="1458.4333333333334"/>
    <n v="12"/>
    <n v="13"/>
    <n v="13"/>
    <n v="15"/>
    <n v="1"/>
    <n v="2"/>
    <m/>
    <n v="0"/>
    <m/>
    <d v="2020-10-15T00:00:00"/>
    <d v="2020-11-15T00:00:00"/>
    <m/>
    <m/>
    <m/>
    <d v="2020-12-15T00:00:00"/>
    <d v="2021-01-15T00:00:00"/>
    <m/>
    <m/>
    <m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0-11-15T00:00:00"/>
    <n v="0"/>
    <m/>
    <d v="2021-01-15T00:00:00"/>
    <m/>
    <m/>
    <m/>
    <m/>
    <n v="0"/>
    <n v="1473.7"/>
    <m/>
    <m/>
    <m/>
    <m/>
    <m/>
    <m/>
    <n v="5522950"/>
    <m/>
    <n v="-5522950"/>
    <e v="#DIV/0!"/>
    <n v="345184.375"/>
    <m/>
    <m/>
    <n v="0"/>
    <e v="#DIV/0!"/>
    <n v="0.4"/>
    <n v="1883035"/>
    <x v="59"/>
    <n v="117689.6875"/>
    <m/>
    <n v="3389915"/>
    <x v="61"/>
    <m/>
    <m/>
    <n v="-3389915"/>
    <n v="211869.6875"/>
    <m/>
    <n v="250000"/>
    <x v="50"/>
    <m/>
    <n v="4.5265664183090561E-2"/>
    <m/>
    <x v="0"/>
    <n v="-250000"/>
    <n v="15625"/>
    <n v="133314.6875"/>
    <n v="-15625"/>
    <n v="6.31"/>
    <m/>
    <m/>
    <m/>
    <n v="133314.6875"/>
    <m/>
    <n v="0"/>
    <n v="0.38621298400311427"/>
    <m/>
    <m/>
    <x v="8"/>
    <n v="552295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ESARIA"/>
    <s v="Tampon"/>
    <s v="CA SUD"/>
    <x v="9"/>
    <m/>
    <m/>
    <m/>
    <s v="ESQ"/>
    <m/>
    <m/>
    <m/>
    <m/>
    <m/>
    <m/>
    <m/>
    <m/>
    <m/>
    <n v="0"/>
    <e v="#DIV/0!"/>
    <e v="#DIV/0!"/>
    <e v="#DIV/0!"/>
    <n v="0"/>
    <n v="0"/>
    <m/>
    <e v="#DIV/0!"/>
    <m/>
    <m/>
    <m/>
    <s v="LLTS"/>
    <n v="37"/>
    <m/>
    <n v="37"/>
    <m/>
    <m/>
    <m/>
    <m/>
    <n v="0"/>
    <m/>
    <m/>
    <m/>
    <m/>
    <m/>
    <m/>
    <m/>
    <m/>
    <m/>
    <s v="collectif"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s v="SO"/>
    <m/>
    <m/>
    <d v="2022-02-01T00:00:00"/>
    <m/>
    <n v="1486.4333333333334"/>
    <n v="16"/>
    <n v="17"/>
    <n v="17"/>
    <n v="19"/>
    <n v="1"/>
    <n v="2"/>
    <m/>
    <n v="0"/>
    <m/>
    <d v="2023-06-01T00:00:00"/>
    <d v="2023-07-01T00:00:00"/>
    <m/>
    <m/>
    <m/>
    <d v="2023-08-01T00:00:00"/>
    <d v="2023-09-0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3-07-01T00:00:00"/>
    <n v="0"/>
    <m/>
    <d v="2023-09-01T00:00:00"/>
    <m/>
    <m/>
    <m/>
    <m/>
    <n v="0"/>
    <n v="1505.6666666666667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hapelle"/>
    <s v="Tampon"/>
    <s v="CA SUD"/>
    <x v="8"/>
    <m/>
    <s v="JER"/>
    <s v="NLE"/>
    <s v="Faisa"/>
    <m/>
    <s v="CN 286"/>
    <s v="RAS"/>
    <s v="SODEGIS"/>
    <s v="MOUTIEN"/>
    <d v="1997-05-21T00:00:00"/>
    <m/>
    <m/>
    <m/>
    <m/>
    <m/>
    <m/>
    <m/>
    <m/>
    <m/>
    <m/>
    <m/>
    <m/>
    <m/>
    <m/>
    <s v="Rehab"/>
    <n v="38"/>
    <m/>
    <m/>
    <m/>
    <n v="38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20-01-15T00:00:00"/>
    <m/>
    <n v="1461.5"/>
    <n v="12"/>
    <n v="13"/>
    <n v="13"/>
    <n v="15"/>
    <n v="1"/>
    <n v="2"/>
    <m/>
    <n v="0"/>
    <m/>
    <d v="2021-01-15T00:00:00"/>
    <d v="2021-02-15T00:00:00"/>
    <m/>
    <m/>
    <m/>
    <d v="2021-03-15T00:00:00"/>
    <d v="2021-04-15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1-02-15T00:00:00"/>
    <n v="0"/>
    <m/>
    <d v="2021-04-15T00:00:00"/>
    <m/>
    <m/>
    <m/>
    <m/>
    <n v="0"/>
    <n v="1476.7"/>
    <m/>
    <m/>
    <m/>
    <m/>
    <m/>
    <m/>
    <n v="5522950"/>
    <m/>
    <n v="-5522950"/>
    <e v="#DIV/0!"/>
    <n v="145340.78947368421"/>
    <m/>
    <m/>
    <n v="0"/>
    <e v="#DIV/0!"/>
    <n v="0.4"/>
    <n v="1883035"/>
    <x v="59"/>
    <n v="49553.552631578947"/>
    <m/>
    <n v="3389915"/>
    <x v="66"/>
    <m/>
    <m/>
    <n v="-3389915"/>
    <n v="89208.289473684214"/>
    <m/>
    <n v="250000"/>
    <x v="50"/>
    <m/>
    <n v="4.5265664183090561E-2"/>
    <m/>
    <x v="0"/>
    <n v="-250000"/>
    <n v="6578.9473684210525"/>
    <n v="56132.5"/>
    <n v="-6578.9473684210525"/>
    <n v="6.31"/>
    <m/>
    <m/>
    <m/>
    <n v="56132.5"/>
    <m/>
    <n v="0"/>
    <n v="0.38621298400311427"/>
    <m/>
    <m/>
    <x v="8"/>
    <n v="552295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hemin Galet 1"/>
    <s v="St Joseph"/>
    <s v="CA SUD"/>
    <x v="8"/>
    <m/>
    <s v="JER"/>
    <s v="NLE"/>
    <s v="Faisa"/>
    <m/>
    <s v="BY 1389 …"/>
    <s v="BY 105_x000a_BY 1045_x000a_BY 888_x000a_manque bcp de justificatifs"/>
    <s v="SODEGIS"/>
    <s v="HOARAU_x000a_HOARAU_x000a_ESPARON"/>
    <s v="13/05/1992_x000a_09/08/96_x000a_22/08/94"/>
    <m/>
    <m/>
    <m/>
    <m/>
    <m/>
    <m/>
    <m/>
    <m/>
    <m/>
    <m/>
    <m/>
    <m/>
    <m/>
    <m/>
    <s v="Rehab"/>
    <n v="30"/>
    <m/>
    <m/>
    <m/>
    <n v="30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20-01-15T00:00:00"/>
    <m/>
    <n v="1461.5"/>
    <n v="12"/>
    <n v="13"/>
    <n v="13"/>
    <n v="15"/>
    <n v="1"/>
    <n v="2"/>
    <m/>
    <n v="0"/>
    <m/>
    <d v="2021-01-15T00:00:00"/>
    <d v="2021-02-15T00:00:00"/>
    <m/>
    <m/>
    <m/>
    <d v="2021-03-15T00:00:00"/>
    <d v="2021-04-15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1-02-15T00:00:00"/>
    <n v="0"/>
    <m/>
    <d v="2021-04-15T00:00:00"/>
    <m/>
    <m/>
    <m/>
    <m/>
    <n v="0"/>
    <n v="1476.7"/>
    <m/>
    <m/>
    <m/>
    <m/>
    <m/>
    <m/>
    <n v="5522950"/>
    <m/>
    <n v="-5522950"/>
    <e v="#DIV/0!"/>
    <n v="184098.33333333334"/>
    <m/>
    <m/>
    <n v="0"/>
    <e v="#DIV/0!"/>
    <n v="0.4"/>
    <n v="1883035"/>
    <x v="59"/>
    <n v="62767.833333333336"/>
    <m/>
    <n v="3389915"/>
    <x v="66"/>
    <m/>
    <m/>
    <n v="-3389915"/>
    <n v="112997.16666666667"/>
    <m/>
    <n v="250000"/>
    <x v="50"/>
    <m/>
    <n v="4.5265664183090561E-2"/>
    <m/>
    <x v="0"/>
    <n v="-250000"/>
    <n v="8333.3333333333339"/>
    <n v="71101.166666666672"/>
    <n v="-8333.3333333333339"/>
    <n v="6.31"/>
    <m/>
    <m/>
    <m/>
    <n v="71101.166666666672"/>
    <m/>
    <n v="0"/>
    <n v="0.38621298400311427"/>
    <m/>
    <m/>
    <x v="8"/>
    <n v="552295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hemin Galet 2"/>
    <s v="St Joseph"/>
    <s v="CA SUD"/>
    <x v="8"/>
    <m/>
    <s v="JER"/>
    <m/>
    <s v="Faisa"/>
    <m/>
    <s v="BY 1385 …"/>
    <s v="BY 105_x000a_BY 1045_x000a_BY 888_x000a_manque bcp de justificatifs"/>
    <s v="SODEGIS"/>
    <s v="HOARAU_x000a_HOARAU_x000a_ESPARON"/>
    <s v="13/05/1992_x000a_09/08/96_x000a_22/08/94"/>
    <m/>
    <m/>
    <m/>
    <m/>
    <m/>
    <m/>
    <m/>
    <m/>
    <m/>
    <m/>
    <m/>
    <m/>
    <m/>
    <m/>
    <s v="Rehab"/>
    <n v="32"/>
    <m/>
    <m/>
    <m/>
    <n v="32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20-01-15T00:00:00"/>
    <m/>
    <n v="1461.5"/>
    <n v="12"/>
    <n v="13"/>
    <n v="13"/>
    <n v="15"/>
    <n v="1"/>
    <n v="2"/>
    <m/>
    <n v="0"/>
    <m/>
    <d v="2021-01-15T00:00:00"/>
    <d v="2021-02-15T00:00:00"/>
    <m/>
    <m/>
    <m/>
    <d v="2021-03-15T00:00:00"/>
    <d v="2021-04-15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1-02-15T00:00:00"/>
    <n v="0"/>
    <m/>
    <d v="2021-04-15T00:00:00"/>
    <m/>
    <m/>
    <m/>
    <m/>
    <n v="0"/>
    <n v="1476.7"/>
    <m/>
    <m/>
    <m/>
    <m/>
    <m/>
    <m/>
    <n v="5522950"/>
    <m/>
    <n v="-5522950"/>
    <e v="#DIV/0!"/>
    <n v="172592.1875"/>
    <m/>
    <m/>
    <n v="0"/>
    <e v="#DIV/0!"/>
    <n v="0.4"/>
    <n v="1883035"/>
    <x v="59"/>
    <n v="58844.84375"/>
    <m/>
    <n v="3389915"/>
    <x v="66"/>
    <m/>
    <m/>
    <n v="-3389915"/>
    <n v="105934.84375"/>
    <m/>
    <n v="250000"/>
    <x v="50"/>
    <m/>
    <n v="4.5265664183090561E-2"/>
    <m/>
    <x v="0"/>
    <n v="-250000"/>
    <n v="7812.5"/>
    <n v="66657.34375"/>
    <n v="-7812.5"/>
    <n v="6.31"/>
    <m/>
    <m/>
    <m/>
    <n v="66657.34375"/>
    <m/>
    <n v="0"/>
    <n v="0.38621298400311427"/>
    <m/>
    <m/>
    <x v="8"/>
    <n v="552295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OCO TURPIN"/>
    <s v="St Louis"/>
    <s v="CIVIS"/>
    <x v="10"/>
    <s v="PRLC 0198"/>
    <s v="ADE"/>
    <s v="GGO"/>
    <s v="APD"/>
    <m/>
    <s v="EM 628 p"/>
    <s v="EM 628 p_x000a_CPV avec TURPIN en cours + clause substit EPFR_x000a_bornage à compléter - manque procurations / DA en cours de finalisation pour EM 629_x000a_EPFR délibère en mars/avril_x000a_minoration foncière CIVIS"/>
    <s v="TURPIN"/>
    <m/>
    <m/>
    <n v="7382"/>
    <n v="1016540"/>
    <m/>
    <n v="26065.128205128207"/>
    <n v="137.7052289352479"/>
    <n v="0"/>
    <e v="#DIV/0!"/>
    <n v="0"/>
    <n v="189.28205128205127"/>
    <m/>
    <m/>
    <m/>
    <m/>
    <m/>
    <s v="LLS"/>
    <n v="39"/>
    <n v="39"/>
    <m/>
    <m/>
    <m/>
    <n v="3148.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19-03-15T00:00:00"/>
    <m/>
    <n v="1451.3"/>
    <n v="14"/>
    <n v="15"/>
    <n v="14"/>
    <n v="15"/>
    <n v="0"/>
    <n v="0"/>
    <m/>
    <n v="0"/>
    <m/>
    <d v="2020-05-15T00:00:00"/>
    <d v="2020-05-15T00:00:00"/>
    <d v="1901-12-31T00:00:00"/>
    <m/>
    <m/>
    <d v="2020-06-15T00:00:00"/>
    <d v="2020-06-15T00:00:00"/>
    <m/>
    <m/>
    <m/>
    <m/>
    <m/>
    <m/>
    <m/>
    <m/>
    <m/>
    <m/>
    <m/>
    <m/>
    <m/>
    <m/>
    <m/>
    <m/>
    <m/>
    <m/>
    <m/>
    <m/>
    <m/>
    <d v="2017-10-11T00:00:00"/>
    <n v="43034"/>
    <n v="43020"/>
    <n v="-14"/>
    <d v="2018-02-09T00:00:00"/>
    <d v="2018-02-08T00:00:00"/>
    <n v="-1"/>
    <d v="2017-12-22T00:00:00"/>
    <d v="2018-03-04T00:00:00"/>
    <n v="72"/>
    <d v="2018-05-01T00:00:00"/>
    <d v="2018-05-01T00:00:00"/>
    <n v="0"/>
    <d v="2018-06-29T00:00:00"/>
    <d v="2018-06-29T00:00:00"/>
    <n v="0"/>
    <m/>
    <d v="2019-03-19T00:00:00"/>
    <d v="2019-03-19T00:00:00"/>
    <n v="0"/>
    <d v="2019-03-20T00:00:00"/>
    <d v="2019-03-20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9-14T00:00:00"/>
    <d v="2020-05-15T00:00:00"/>
    <n v="18.133333333333333"/>
    <d v="2020-10-14T00:00:00"/>
    <d v="2020-06-15T00:00:00"/>
    <n v="0"/>
    <n v="0"/>
    <m/>
    <m/>
    <n v="1.9"/>
    <n v="-4.0333333333333332"/>
    <m/>
    <m/>
    <s v="PC à déposer 10/02/18 au plus tard"/>
    <m/>
    <m/>
    <m/>
    <n v="6333871.6299999999"/>
    <n v="3651857"/>
    <n v="-2682014.63"/>
    <n v="2011.9664654871192"/>
    <n v="162406.96487179486"/>
    <m/>
    <m/>
    <n v="0"/>
    <n v="0"/>
    <n v="0.4"/>
    <n v="1941014.63"/>
    <x v="59"/>
    <n v="49769.605897435897"/>
    <m/>
    <n v="3651857"/>
    <x v="67"/>
    <n v="931905"/>
    <n v="2719952"/>
    <n v="0"/>
    <n v="93637.358974358969"/>
    <m/>
    <n v="741000"/>
    <x v="50"/>
    <m/>
    <n v="0.11699005652250644"/>
    <m/>
    <x v="0"/>
    <n v="-741000"/>
    <n v="19000"/>
    <n v="68769.605897435889"/>
    <n v="-19000"/>
    <n v="6.31"/>
    <m/>
    <m/>
    <m/>
    <n v="68769.605897435889"/>
    <m/>
    <n v="0"/>
    <n v="0.42344000426165884"/>
    <m/>
    <m/>
    <x v="8"/>
    <n v="6333871.6299999999"/>
    <n v="310612"/>
    <n v="77653"/>
    <d v="2017-10-18T00:00:00"/>
    <n v="25896"/>
    <d v="2017-12-11T00:00:00"/>
    <n v="20695"/>
    <m/>
    <m/>
    <d v="2018-02-08T00:00:00"/>
    <n v="31062"/>
    <m/>
    <m/>
    <m/>
    <m/>
    <m/>
    <m/>
    <m/>
    <m/>
    <m/>
    <m/>
    <m/>
    <m/>
    <m/>
    <m/>
    <m/>
    <m/>
    <m/>
    <m/>
    <m/>
    <m/>
    <n v="31062"/>
    <m/>
    <m/>
    <m/>
    <m/>
    <m/>
  </r>
  <r>
    <s v="INDIGO LLS"/>
    <s v="St Leu"/>
    <s v="TCO"/>
    <x v="10"/>
    <s v="PRLC 0192"/>
    <s v="APU"/>
    <s v="DBE"/>
    <s v="APD"/>
    <m/>
    <s v="DD783 / 1298"/>
    <s v="_x000a_attente protocole DD 1298 pour prendre possession des lieux_x000a_lancer procédure expulsion bungalow"/>
    <m/>
    <m/>
    <m/>
    <m/>
    <n v="247943"/>
    <m/>
    <n v="11270.136363636364"/>
    <e v="#DIV/0!"/>
    <e v="#DIV/0!"/>
    <e v="#DIV/0!"/>
    <n v="0"/>
    <n v="0"/>
    <m/>
    <e v="#DIV/0!"/>
    <m/>
    <m/>
    <m/>
    <s v="LLS"/>
    <n v="22"/>
    <n v="22"/>
    <m/>
    <m/>
    <m/>
    <n v="2090.21"/>
    <m/>
    <n v="0"/>
    <m/>
    <m/>
    <m/>
    <m/>
    <m/>
    <m/>
    <m/>
    <m/>
    <m/>
    <s v="collectif"/>
    <m/>
    <s v="30/08/2016_x000a_01/02/17_x000a_06/04/17"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s v="SO"/>
    <m/>
    <m/>
    <d v="2018-12-21T00:00:00"/>
    <m/>
    <n v="1448.5"/>
    <n v="16"/>
    <n v="17"/>
    <n v="16"/>
    <n v="17"/>
    <n v="0"/>
    <n v="0"/>
    <m/>
    <n v="0"/>
    <m/>
    <d v="2020-04-21T00:00:00"/>
    <d v="2020-04-21T00:00:00"/>
    <d v="1901-12-31T00:00:00"/>
    <m/>
    <m/>
    <d v="2020-05-21T00:00:00"/>
    <d v="2020-05-21T00:00:00"/>
    <m/>
    <m/>
    <m/>
    <m/>
    <m/>
    <m/>
    <m/>
    <m/>
    <m/>
    <m/>
    <m/>
    <m/>
    <m/>
    <m/>
    <m/>
    <m/>
    <m/>
    <m/>
    <m/>
    <m/>
    <m/>
    <d v="2016-09-06T00:00:00"/>
    <d v="2016-09-06T00:00:00"/>
    <d v="2016-09-06T00:00:00"/>
    <n v="0"/>
    <d v="2018-01-19T00:00:00"/>
    <d v="2018-03-04T00:00:00"/>
    <n v="44"/>
    <d v="2017-02-06T00:00:00"/>
    <d v="2017-04-24T00:00:00"/>
    <n v="77"/>
    <d v="2017-11-14T00:00:00"/>
    <d v="2018-03-04T00:00:00"/>
    <n v="110"/>
    <d v="2018-02-20T00:00:00"/>
    <d v="2018-03-04T00:00:00"/>
    <n v="12"/>
    <m/>
    <d v="2018-12-07T00:00:00"/>
    <d v="2018-12-07T00:00:00"/>
    <n v="0"/>
    <d v="2018-12-21T00:00:00"/>
    <d v="2018-12-21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6-12T00:00:00"/>
    <d v="2020-04-21T00:00:00"/>
    <n v="17.966666666666665"/>
    <d v="2020-07-14T00:00:00"/>
    <d v="2020-05-21T00:00:00"/>
    <n v="0"/>
    <n v="0"/>
    <m/>
    <m/>
    <n v="8.1"/>
    <n v="-1.8"/>
    <m/>
    <m/>
    <s v="PC à déposer 10/02/18 au plus tard"/>
    <m/>
    <m/>
    <m/>
    <n v="4056688"/>
    <n v="21631"/>
    <n v="-4035057"/>
    <n v="1940.8040340444261"/>
    <n v="184394.90909090909"/>
    <m/>
    <m/>
    <n v="0"/>
    <n v="0"/>
    <n v="0.4"/>
    <n v="1260329"/>
    <x v="59"/>
    <n v="57287.681818181816"/>
    <m/>
    <n v="2356728"/>
    <x v="66"/>
    <m/>
    <m/>
    <n v="-2356728"/>
    <n v="107124"/>
    <m/>
    <n v="418000"/>
    <x v="50"/>
    <m/>
    <n v="0.10303972107295409"/>
    <m/>
    <x v="28"/>
    <n v="-418000"/>
    <n v="19000"/>
    <n v="76287.681818181823"/>
    <n v="-19000"/>
    <n v="6.31"/>
    <m/>
    <m/>
    <m/>
    <n v="76287.681818181823"/>
    <m/>
    <n v="0"/>
    <n v="0.41371902399198557"/>
    <m/>
    <m/>
    <x v="8"/>
    <n v="4056688"/>
    <n v="461347"/>
    <n v="161472"/>
    <m/>
    <m/>
    <m/>
    <m/>
    <m/>
    <m/>
    <d v="2018-02-14T00:00:00"/>
    <n v="47870"/>
    <s v="10/07/2017_x000a_11/12/17"/>
    <n v="113602"/>
    <m/>
    <n v="0"/>
    <m/>
    <m/>
    <m/>
    <m/>
    <m/>
    <m/>
    <m/>
    <m/>
    <m/>
    <m/>
    <m/>
    <m/>
    <m/>
    <m/>
    <m/>
    <m/>
    <n v="47870"/>
    <m/>
    <m/>
    <m/>
    <m/>
    <m/>
  </r>
  <r>
    <s v="DESIRE 3"/>
    <s v="Petite-Ile"/>
    <s v="CIVIS"/>
    <x v="8"/>
    <m/>
    <s v="FVA"/>
    <m/>
    <m/>
    <m/>
    <s v="AK 661 - 770"/>
    <s v="AK 661 : offre faite au propriétaire / pas de réponse - mettre ultimatum sous 15 j_x000a_topo consulté_x000a_pas d'accord des vendeurs"/>
    <s v="Mairie / privé"/>
    <m/>
    <m/>
    <m/>
    <m/>
    <m/>
    <m/>
    <e v="#DIV/0!"/>
    <e v="#DIV/0!"/>
    <e v="#DIV/0!"/>
    <n v="0"/>
    <n v="0"/>
    <m/>
    <m/>
    <s v="UC"/>
    <m/>
    <m/>
    <s v="LLTS"/>
    <n v="16"/>
    <m/>
    <n v="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19-07-01T00:00:00"/>
    <m/>
    <n v="1454.9"/>
    <n v="16"/>
    <n v="17"/>
    <n v="16"/>
    <n v="17"/>
    <n v="0"/>
    <n v="0"/>
    <m/>
    <n v="0"/>
    <m/>
    <d v="2020-11-01T00:00:00"/>
    <d v="2020-11-01T00:00:00"/>
    <d v="1901-12-31T00:00:00"/>
    <m/>
    <m/>
    <d v="2020-12-01T00:00:00"/>
    <d v="2020-12-0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0-11-01T00:00:00"/>
    <n v="0"/>
    <m/>
    <d v="2020-12-01T00:00:00"/>
    <m/>
    <m/>
    <m/>
    <m/>
    <n v="0"/>
    <n v="1472.2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GORBATCHEV"/>
    <s v="Tampon"/>
    <s v="CA SUD"/>
    <x v="8"/>
    <m/>
    <m/>
    <m/>
    <m/>
    <m/>
    <s v="BY 284"/>
    <s v="courrier à faire à la Mairie pour un portage / CPV signer"/>
    <m/>
    <m/>
    <m/>
    <m/>
    <m/>
    <m/>
    <m/>
    <e v="#DIV/0!"/>
    <e v="#DIV/0!"/>
    <e v="#DIV/0!"/>
    <n v="0"/>
    <n v="0"/>
    <m/>
    <m/>
    <m/>
    <m/>
    <m/>
    <s v="PLS"/>
    <n v="19"/>
    <m/>
    <m/>
    <n v="1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19-07-01T00:00:00"/>
    <m/>
    <n v="1454.9"/>
    <n v="16"/>
    <n v="17"/>
    <n v="16"/>
    <n v="17"/>
    <n v="0"/>
    <n v="0"/>
    <m/>
    <n v="0"/>
    <m/>
    <d v="2020-11-01T00:00:00"/>
    <d v="2020-11-01T00:00:00"/>
    <d v="1901-12-31T00:00:00"/>
    <m/>
    <m/>
    <d v="2020-12-01T00:00:00"/>
    <d v="2020-12-0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0-11-01T00:00:00"/>
    <n v="0"/>
    <m/>
    <d v="2020-12-01T00:00:00"/>
    <m/>
    <m/>
    <m/>
    <m/>
    <n v="0"/>
    <n v="1472.2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pale (ILOT 9)"/>
    <s v="Etang-Salé"/>
    <s v="CIVIS"/>
    <x v="10"/>
    <s v="PRLC 0197"/>
    <s v="OET"/>
    <s v="EGI"/>
    <s v="APD"/>
    <m/>
    <m/>
    <m/>
    <m/>
    <m/>
    <m/>
    <n v="1627"/>
    <n v="158480"/>
    <m/>
    <e v="#DIV/0!"/>
    <n v="97.406269207129682"/>
    <n v="0"/>
    <e v="#DIV/0!"/>
    <n v="0"/>
    <n v="95.705882352941174"/>
    <m/>
    <m/>
    <m/>
    <m/>
    <m/>
    <s v="LLS"/>
    <n v="17"/>
    <n v="17"/>
    <m/>
    <m/>
    <m/>
    <n v="1598.71"/>
    <m/>
    <e v="#DIV/0!"/>
    <m/>
    <m/>
    <m/>
    <m/>
    <m/>
    <m/>
    <m/>
    <m/>
    <m/>
    <m/>
    <m/>
    <d v="2017-08-3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20-05-01T00:00:00"/>
    <m/>
    <n v="1465.0666666666666"/>
    <n v="14"/>
    <n v="15"/>
    <n v="14"/>
    <n v="16"/>
    <n v="0"/>
    <n v="1"/>
    <m/>
    <n v="0"/>
    <m/>
    <d v="2021-07-01T00:00:00"/>
    <d v="2021-07-01T00:00:00"/>
    <m/>
    <m/>
    <m/>
    <d v="2021-08-01T00:00:00"/>
    <d v="2021-09-01T00:00:00"/>
    <m/>
    <m/>
    <m/>
    <m/>
    <m/>
    <m/>
    <m/>
    <m/>
    <m/>
    <m/>
    <m/>
    <m/>
    <m/>
    <m/>
    <m/>
    <m/>
    <m/>
    <m/>
    <m/>
    <m/>
    <m/>
    <d v="2017-07-11T00:00:00"/>
    <d v="2017-07-26T00:00:00"/>
    <d v="2017-07-11T00:00:00"/>
    <n v="-15"/>
    <d v="2018-02-09T00:00:00"/>
    <d v="2018-02-07T00:00:00"/>
    <n v="-2"/>
    <d v="2017-11-30T00:00:00"/>
    <d v="2017-12-04T00:00:00"/>
    <n v="4"/>
    <d v="2018-01-25T00:00:00"/>
    <d v="2018-03-04T00:00:00"/>
    <n v="38"/>
    <d v="2018-05-25T00:00:00"/>
    <d v="2018-05-25T00:00:00"/>
    <n v="0"/>
    <m/>
    <d v="2019-03-28T00:00:00"/>
    <d v="2019-03-28T00:00:00"/>
    <n v="0"/>
    <d v="2019-04-12T00:00:00"/>
    <d v="2019-04-12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10-28T00:00:00"/>
    <d v="2021-07-01T00:00:00"/>
    <n v="18.833333333333332"/>
    <d v="2020-11-27T00:00:00"/>
    <d v="2021-09-01T00:00:00"/>
    <n v="0"/>
    <n v="0"/>
    <m/>
    <m/>
    <n v="0.83333333333333337"/>
    <n v="9.2666666666666675"/>
    <m/>
    <m/>
    <s v="PC à déposer 10/02/18 au plus tard"/>
    <m/>
    <m/>
    <m/>
    <n v="3117742"/>
    <n v="0"/>
    <n v="-3117742"/>
    <n v="1950.1610673605594"/>
    <e v="#DIV/0!"/>
    <m/>
    <m/>
    <n v="0"/>
    <e v="#DIV/0!"/>
    <n v="0.4"/>
    <n v="904384"/>
    <x v="59"/>
    <e v="#DIV/0!"/>
    <m/>
    <n v="1890358"/>
    <x v="61"/>
    <m/>
    <m/>
    <n v="-1890358"/>
    <e v="#DIV/0!"/>
    <m/>
    <n v="323000"/>
    <x v="50"/>
    <m/>
    <n v="0.10360061865285838"/>
    <m/>
    <x v="0"/>
    <n v="-323000"/>
    <e v="#DIV/0!"/>
    <e v="#DIV/0!"/>
    <e v="#DIV/0!"/>
    <n v="6.31"/>
    <m/>
    <m/>
    <m/>
    <e v="#DIV/0!"/>
    <m/>
    <e v="#DIV/0!"/>
    <n v="0.39367721896167163"/>
    <m/>
    <m/>
    <x v="8"/>
    <n v="3117742"/>
    <n v="156188"/>
    <n v="46856"/>
    <d v="2017-05-22T00:00:00"/>
    <n v="15110"/>
    <d v="2017-12-21T00:00:00"/>
    <n v="7809"/>
    <d v="2017-12-04T00:00:00"/>
    <n v="8318"/>
    <d v="2018-02-14T00:00:00"/>
    <n v="15619"/>
    <m/>
    <m/>
    <m/>
    <m/>
    <m/>
    <m/>
    <m/>
    <m/>
    <m/>
    <m/>
    <m/>
    <m/>
    <m/>
    <m/>
    <m/>
    <m/>
    <m/>
    <m/>
    <m/>
    <m/>
    <n v="15619"/>
    <m/>
    <m/>
    <m/>
    <m/>
    <m/>
  </r>
  <r>
    <s v="PAPYRUS "/>
    <s v="Etang-Salé"/>
    <s v="CIVIS"/>
    <x v="10"/>
    <s v="PRLC 0199"/>
    <s v="OET"/>
    <s v="GGO"/>
    <s v="APD"/>
    <m/>
    <m/>
    <s v="AX 24p / 25 / 429p / 28 / 27p_x000a_actualisation topo en cours_x000a_zone RHI_x000a_"/>
    <m/>
    <m/>
    <m/>
    <n v="2342"/>
    <n v="270000"/>
    <m/>
    <e v="#DIV/0!"/>
    <n v="115.28608027327071"/>
    <n v="0"/>
    <e v="#DIV/0!"/>
    <n v="0"/>
    <n v="70.969696969696969"/>
    <m/>
    <m/>
    <s v="UA"/>
    <m/>
    <m/>
    <s v="LLS"/>
    <n v="33"/>
    <n v="33"/>
    <m/>
    <m/>
    <m/>
    <n v="2595.59"/>
    <m/>
    <e v="#DIV/0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19-03-15T00:00:00"/>
    <m/>
    <n v="1451.3"/>
    <n v="14"/>
    <n v="15"/>
    <n v="14"/>
    <n v="15"/>
    <n v="0"/>
    <n v="0"/>
    <m/>
    <n v="0"/>
    <m/>
    <d v="2020-05-15T00:00:00"/>
    <d v="2020-05-15T00:00:00"/>
    <d v="1901-12-31T00:00:00"/>
    <m/>
    <m/>
    <d v="2020-06-15T00:00:00"/>
    <d v="2020-06-15T00:00:00"/>
    <m/>
    <m/>
    <m/>
    <m/>
    <m/>
    <m/>
    <m/>
    <m/>
    <m/>
    <m/>
    <m/>
    <m/>
    <m/>
    <m/>
    <m/>
    <m/>
    <m/>
    <m/>
    <m/>
    <m/>
    <m/>
    <d v="2017-10-09T00:00:00"/>
    <d v="2017-10-24T00:00:00"/>
    <d v="2017-10-31T00:00:00"/>
    <n v="7"/>
    <d v="2018-02-09T00:00:00"/>
    <d v="2018-02-08T00:00:00"/>
    <n v="-1"/>
    <d v="2018-01-30T00:00:00"/>
    <d v="2018-03-04T00:00:00"/>
    <n v="33"/>
    <d v="2018-04-11T00:00:00"/>
    <d v="2018-04-11T00:00:00"/>
    <n v="0"/>
    <d v="2018-06-08T00:00:00"/>
    <d v="2018-06-08T00:00:00"/>
    <n v="0"/>
    <m/>
    <d v="2019-03-27T00:00:00"/>
    <d v="2019-03-27T00:00:00"/>
    <n v="0"/>
    <d v="2019-04-11T00:00:00"/>
    <d v="2019-04-11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10-01T00:00:00"/>
    <d v="2020-05-15T00:00:00"/>
    <n v="17.966666666666665"/>
    <d v="2020-10-30T00:00:00"/>
    <d v="2020-06-15T00:00:00"/>
    <n v="0"/>
    <n v="0"/>
    <m/>
    <m/>
    <n v="1.3"/>
    <n v="-4.5666666666666664"/>
    <m/>
    <m/>
    <s v="PC à déposer 10/02/18 au plus tard / attente données hydrétudes"/>
    <m/>
    <m/>
    <m/>
    <n v="5451686"/>
    <n v="0"/>
    <n v="-5451686"/>
    <n v="2100.3648496103006"/>
    <e v="#DIV/0!"/>
    <m/>
    <m/>
    <n v="0"/>
    <e v="#DIV/0!"/>
    <n v="0.4"/>
    <n v="1728972"/>
    <x v="59"/>
    <e v="#DIV/0!"/>
    <m/>
    <n v="3079214"/>
    <x v="66"/>
    <m/>
    <m/>
    <n v="-3079214"/>
    <e v="#DIV/0!"/>
    <m/>
    <n v="643500"/>
    <x v="50"/>
    <m/>
    <n v="0.11803687886646443"/>
    <m/>
    <x v="0"/>
    <n v="-643500"/>
    <e v="#DIV/0!"/>
    <e v="#DIV/0!"/>
    <e v="#DIV/0!"/>
    <n v="6.31"/>
    <m/>
    <m/>
    <m/>
    <e v="#DIV/0!"/>
    <m/>
    <e v="#DIV/0!"/>
    <n v="0.43518133656267072"/>
    <m/>
    <m/>
    <x v="8"/>
    <n v="5451686"/>
    <n v="263611"/>
    <n v="65903"/>
    <d v="2017-12-04T00:00:00"/>
    <n v="23541"/>
    <d v="2017-12-11T00:00:00"/>
    <n v="16001"/>
    <m/>
    <m/>
    <d v="2018-02-14T00:00:00"/>
    <n v="26361"/>
    <m/>
    <m/>
    <m/>
    <m/>
    <m/>
    <m/>
    <m/>
    <m/>
    <m/>
    <m/>
    <m/>
    <m/>
    <m/>
    <m/>
    <m/>
    <m/>
    <m/>
    <m/>
    <m/>
    <m/>
    <n v="26361"/>
    <m/>
    <m/>
    <m/>
    <m/>
    <m/>
  </r>
  <r>
    <s v="CANNELLE "/>
    <s v="Etang-Salé"/>
    <s v="CIVIS"/>
    <x v="10"/>
    <s v="PRLC 0200"/>
    <s v="OET"/>
    <s v="EGI"/>
    <s v="APD"/>
    <m/>
    <s v="AT 222/223/224"/>
    <s v="AT 222/223/224_x000a_compromis AT 222 signé - PD obtenu / bornage 05/10/17_x000a_en attente du topo / bornage_x000a_empiètement sur AT 224_x000a_"/>
    <m/>
    <m/>
    <m/>
    <n v="3601"/>
    <n v="222501"/>
    <m/>
    <n v="7672.4482758620688"/>
    <m/>
    <m/>
    <m/>
    <n v="0"/>
    <n v="124.17241379310344"/>
    <m/>
    <m/>
    <s v="UB"/>
    <m/>
    <m/>
    <s v="LLTS"/>
    <n v="29"/>
    <m/>
    <n v="29"/>
    <m/>
    <m/>
    <n v="2297.1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19-03-15T00:00:00"/>
    <m/>
    <n v="1451.3"/>
    <n v="14"/>
    <n v="15"/>
    <n v="14"/>
    <n v="15"/>
    <n v="0"/>
    <n v="0"/>
    <m/>
    <n v="0"/>
    <m/>
    <d v="2020-05-15T00:00:00"/>
    <d v="2020-05-15T00:00:00"/>
    <d v="1901-12-31T00:00:00"/>
    <m/>
    <m/>
    <d v="2020-06-15T00:00:00"/>
    <d v="2020-06-15T00:00:00"/>
    <m/>
    <m/>
    <m/>
    <m/>
    <m/>
    <m/>
    <m/>
    <m/>
    <m/>
    <m/>
    <m/>
    <m/>
    <m/>
    <m/>
    <m/>
    <m/>
    <m/>
    <m/>
    <m/>
    <m/>
    <m/>
    <d v="2017-10-09T00:00:00"/>
    <n v="43032"/>
    <n v="43017"/>
    <n v="-15"/>
    <d v="2018-02-09T00:00:00"/>
    <d v="2018-02-07T00:00:00"/>
    <n v="-2"/>
    <d v="2018-01-25T00:00:00"/>
    <d v="2018-03-04T00:00:00"/>
    <n v="38"/>
    <d v="2018-04-10T00:00:00"/>
    <d v="2018-04-10T00:00:00"/>
    <n v="0"/>
    <d v="2018-06-08T00:00:00"/>
    <d v="2018-06-08T00:00:00"/>
    <n v="0"/>
    <m/>
    <d v="2019-03-26T00:00:00"/>
    <d v="2019-03-26T00:00:00"/>
    <n v="0"/>
    <d v="2019-04-10T00:00:00"/>
    <d v="2019-04-10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10-01T00:00:00"/>
    <d v="2020-05-15T00:00:00"/>
    <n v="18"/>
    <d v="2020-10-30T00:00:00"/>
    <d v="2020-06-15T00:00:00"/>
    <n v="0"/>
    <n v="0"/>
    <m/>
    <m/>
    <n v="0.7"/>
    <n v="-4.5666666666666664"/>
    <m/>
    <m/>
    <s v="APS à analyser / PC à déposer 10/02/18 au plus tard"/>
    <m/>
    <m/>
    <m/>
    <n v="4825202"/>
    <n v="0"/>
    <n v="-4825202"/>
    <n v="2100.4801518376798"/>
    <n v="166386.27586206896"/>
    <m/>
    <m/>
    <n v="0"/>
    <e v="#DIV/0!"/>
    <n v="0.4"/>
    <n v="1465688"/>
    <x v="59"/>
    <n v="50540.965517241377"/>
    <m/>
    <n v="2579514"/>
    <x v="66"/>
    <m/>
    <m/>
    <n v="-2579514"/>
    <n v="88948.758620689652"/>
    <m/>
    <n v="780000"/>
    <x v="50"/>
    <m/>
    <n v="0.16165126351186956"/>
    <m/>
    <x v="0"/>
    <n v="-780000"/>
    <n v="26896.551724137931"/>
    <n v="77437.517241379304"/>
    <n v="-26896.551724137931"/>
    <n v="6.31"/>
    <m/>
    <m/>
    <m/>
    <n v="77437.517241379304"/>
    <m/>
    <n v="0"/>
    <n v="0.46540808032492731"/>
    <m/>
    <m/>
    <x v="8"/>
    <n v="4825202"/>
    <n v="243532"/>
    <n v="60883"/>
    <d v="2017-12-04T00:00:00"/>
    <n v="22546"/>
    <d v="2017-12-11T00:00:00"/>
    <n v="13984"/>
    <d v="2018-02-14T00:00:00"/>
    <n v="24353"/>
    <m/>
    <m/>
    <m/>
    <m/>
    <m/>
    <m/>
    <m/>
    <m/>
    <m/>
    <m/>
    <m/>
    <m/>
    <m/>
    <m/>
    <m/>
    <m/>
    <m/>
    <m/>
    <m/>
    <m/>
    <m/>
    <m/>
    <m/>
    <m/>
    <m/>
    <m/>
    <m/>
    <m/>
  </r>
  <r>
    <s v="INDIGO LLTS"/>
    <s v="St Leu"/>
    <s v="TCO"/>
    <x v="10"/>
    <s v="PRLC 0192"/>
    <s v="APU"/>
    <m/>
    <m/>
    <m/>
    <s v="DD783 / 1298"/>
    <s v="_x000a_attente protocole DD 1298 pour prendre possession des lieux_x000a_lancer procédure expulsion bungalow"/>
    <m/>
    <m/>
    <m/>
    <m/>
    <n v="309010"/>
    <m/>
    <n v="9088.5294117647063"/>
    <e v="#DIV/0!"/>
    <e v="#DIV/0!"/>
    <e v="#DIV/0!"/>
    <n v="0"/>
    <n v="0"/>
    <m/>
    <e v="#DIV/0!"/>
    <m/>
    <m/>
    <m/>
    <s v="LLTS"/>
    <n v="34"/>
    <m/>
    <n v="34"/>
    <m/>
    <m/>
    <n v="2635.29"/>
    <m/>
    <n v="0"/>
    <m/>
    <m/>
    <m/>
    <m/>
    <m/>
    <m/>
    <m/>
    <m/>
    <m/>
    <s v="collectif"/>
    <m/>
    <s v="30/08/2016_x000a_01/02/17_x000a_06/04/17"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s v="SO"/>
    <m/>
    <m/>
    <d v="2018-12-21T00:00:00"/>
    <m/>
    <n v="1448.5"/>
    <n v="16"/>
    <n v="17"/>
    <n v="16"/>
    <n v="17"/>
    <n v="0"/>
    <n v="0"/>
    <m/>
    <n v="0"/>
    <m/>
    <d v="2020-04-21T00:00:00"/>
    <d v="2020-04-21T00:00:00"/>
    <d v="1901-12-31T00:00:00"/>
    <m/>
    <m/>
    <d v="2020-05-21T00:00:00"/>
    <d v="2020-05-2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0-04-21T00:00:00"/>
    <n v="0"/>
    <m/>
    <d v="2020-05-21T00:00:00"/>
    <m/>
    <m/>
    <m/>
    <m/>
    <n v="0"/>
    <n v="1465.7333333333333"/>
    <m/>
    <m/>
    <m/>
    <m/>
    <m/>
    <m/>
    <n v="5275081.05"/>
    <n v="27272.05"/>
    <n v="-5247809"/>
    <n v="2001.7079903919491"/>
    <n v="155149.44264705881"/>
    <m/>
    <m/>
    <n v="0"/>
    <n v="0"/>
    <n v="0.4"/>
    <n v="1530341"/>
    <x v="59"/>
    <n v="45010.029411764706"/>
    <m/>
    <n v="3003468"/>
    <x v="66"/>
    <m/>
    <m/>
    <n v="-3003468"/>
    <n v="88337.294117647063"/>
    <m/>
    <n v="714000"/>
    <x v="50"/>
    <m/>
    <n v="0.13535337054205074"/>
    <m/>
    <x v="29"/>
    <n v="-714000"/>
    <n v="21000"/>
    <n v="66010.029411764699"/>
    <n v="-21000"/>
    <n v="6.31"/>
    <m/>
    <m/>
    <m/>
    <n v="66010.029411764699"/>
    <m/>
    <n v="0"/>
    <n v="0.42546095097439313"/>
    <m/>
    <m/>
    <x v="8"/>
    <n v="5275081.05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VEFA JOSETTE"/>
    <s v="St Louis"/>
    <s v="CIVIS"/>
    <x v="10"/>
    <m/>
    <s v="ADE"/>
    <s v="EGI"/>
    <s v="APD"/>
    <m/>
    <s v="EN 823"/>
    <m/>
    <m/>
    <m/>
    <m/>
    <m/>
    <m/>
    <m/>
    <n v="0"/>
    <e v="#DIV/0!"/>
    <e v="#DIV/0!"/>
    <e v="#DIV/0!"/>
    <n v="0"/>
    <n v="0"/>
    <m/>
    <e v="#DIV/0!"/>
    <m/>
    <m/>
    <m/>
    <s v="LLTS"/>
    <n v="36"/>
    <n v="36"/>
    <m/>
    <m/>
    <m/>
    <n v="2856.92"/>
    <m/>
    <n v="0"/>
    <m/>
    <m/>
    <m/>
    <m/>
    <m/>
    <m/>
    <m/>
    <m/>
    <m/>
    <m/>
    <m/>
    <d v="2016-11-17T00:00:00"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n v="1468.6"/>
    <m/>
    <d v="2019-03-15T00:00:00"/>
    <m/>
    <n v="1451.3"/>
    <n v="16"/>
    <n v="17"/>
    <n v="16"/>
    <n v="17"/>
    <n v="0"/>
    <n v="0"/>
    <m/>
    <n v="0"/>
    <m/>
    <d v="2020-07-15T00:00:00"/>
    <d v="2020-07-15T00:00:00"/>
    <d v="1901-12-31T00:00:00"/>
    <m/>
    <m/>
    <d v="2020-08-15T00:00:00"/>
    <d v="2020-08-15T00:00:00"/>
    <m/>
    <m/>
    <m/>
    <m/>
    <m/>
    <m/>
    <m/>
    <m/>
    <m/>
    <m/>
    <m/>
    <m/>
    <m/>
    <m/>
    <m/>
    <m/>
    <m/>
    <m/>
    <m/>
    <m/>
    <m/>
    <m/>
    <m/>
    <m/>
    <s v="0"/>
    <d v="2018-02-10T00:00:00"/>
    <d v="2018-03-04T00:00:00"/>
    <n v="22"/>
    <m/>
    <d v="2018-03-04T00:00:00"/>
    <s v="0"/>
    <m/>
    <d v="2018-03-04T00:00:00"/>
    <s v="0"/>
    <m/>
    <d v="2018-03-04T00:00:00"/>
    <s v="0"/>
    <m/>
    <d v="2019-03-01T00:00:00"/>
    <d v="2019-03-01T00:00:00"/>
    <n v="0"/>
    <d v="2019-04-15T00:00:00"/>
    <d v="2019-04-15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8-12T00:00:00"/>
    <d v="2020-07-15T00:00:00"/>
    <n v="16.166666666666668"/>
    <d v="2020-09-11T00:00:00"/>
    <d v="2020-08-15T00:00:00"/>
    <n v="0"/>
    <n v="0"/>
    <m/>
    <m/>
    <n v="0.73333333333333328"/>
    <n v="-0.9"/>
    <m/>
    <m/>
    <s v="PC déposé"/>
    <m/>
    <m/>
    <m/>
    <n v="6002331"/>
    <n v="3563771"/>
    <n v="-2438560"/>
    <n v="2100.9797264186604"/>
    <n v="166731.41666666666"/>
    <m/>
    <m/>
    <n v="0"/>
    <n v="0"/>
    <n v="0.4"/>
    <n v="1790560"/>
    <x v="59"/>
    <n v="49737.777777777781"/>
    <m/>
    <n v="3563771"/>
    <x v="68"/>
    <n v="661416"/>
    <n v="2902355"/>
    <n v="0"/>
    <n v="98993.638888888891"/>
    <m/>
    <n v="648000"/>
    <x v="50"/>
    <m/>
    <n v="0.10795805829435265"/>
    <m/>
    <x v="0"/>
    <n v="-648000"/>
    <n v="18000"/>
    <n v="67737.777777777781"/>
    <n v="-18000"/>
    <n v="6.31"/>
    <m/>
    <m/>
    <m/>
    <n v="67737.777777777781"/>
    <m/>
    <n v="0"/>
    <n v="0.40626883122573548"/>
    <m/>
    <m/>
    <x v="8"/>
    <n v="6002331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La Cure 2"/>
    <s v="St Joseph"/>
    <s v="CA SUD"/>
    <x v="8"/>
    <m/>
    <s v="JER"/>
    <m/>
    <s v="Faisa"/>
    <m/>
    <m/>
    <s v="dépôt de pièces divisant BN 419/420/421/422/423/782/783/825_x000a_manque titre de propriété des parcelles divisées"/>
    <s v="SODEGIS"/>
    <s v="BASTI"/>
    <d v="2001-08-22T00:00:00"/>
    <m/>
    <m/>
    <m/>
    <m/>
    <m/>
    <m/>
    <m/>
    <m/>
    <m/>
    <m/>
    <m/>
    <m/>
    <m/>
    <m/>
    <s v="Rehab"/>
    <n v="18"/>
    <m/>
    <m/>
    <m/>
    <n v="18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20-01-15T00:00:00"/>
    <m/>
    <n v="1461.5"/>
    <n v="12"/>
    <n v="13"/>
    <n v="13"/>
    <n v="15"/>
    <n v="1"/>
    <n v="2"/>
    <m/>
    <n v="0"/>
    <m/>
    <d v="2021-01-15T00:00:00"/>
    <d v="2021-02-15T00:00:00"/>
    <m/>
    <m/>
    <m/>
    <d v="2021-03-15T00:00:00"/>
    <d v="2021-04-15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1-02-15T00:00:00"/>
    <n v="0"/>
    <m/>
    <d v="2021-04-15T00:00:00"/>
    <m/>
    <m/>
    <m/>
    <m/>
    <n v="0"/>
    <n v="1476.7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Le Choka Bleu"/>
    <s v="St Joseph"/>
    <s v="CA SUD"/>
    <x v="8"/>
    <m/>
    <s v="JER"/>
    <m/>
    <s v="Faisa"/>
    <m/>
    <s v="BN 813 / 812"/>
    <s v="manque justificatif BN 812"/>
    <s v="SODEGIS"/>
    <s v="Esparon"/>
    <d v="1996-11-27T00:00:00"/>
    <m/>
    <m/>
    <m/>
    <m/>
    <m/>
    <m/>
    <m/>
    <m/>
    <m/>
    <m/>
    <m/>
    <m/>
    <m/>
    <m/>
    <s v="Rehab"/>
    <n v="26"/>
    <m/>
    <m/>
    <m/>
    <n v="26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20-01-15T00:00:00"/>
    <m/>
    <n v="1461.5"/>
    <n v="12"/>
    <n v="13"/>
    <n v="13"/>
    <n v="15"/>
    <n v="1"/>
    <n v="2"/>
    <m/>
    <n v="0"/>
    <m/>
    <d v="2021-01-15T00:00:00"/>
    <d v="2021-02-15T00:00:00"/>
    <m/>
    <m/>
    <m/>
    <d v="2021-03-15T00:00:00"/>
    <d v="2021-04-15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d v="2021-02-15T00:00:00"/>
    <n v="0"/>
    <m/>
    <d v="2021-04-15T00:00:00"/>
    <m/>
    <m/>
    <m/>
    <m/>
    <n v="0"/>
    <n v="1476.7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Les Orchidées"/>
    <s v="Tampon"/>
    <s v="CA SUD"/>
    <x v="8"/>
    <m/>
    <s v="JER"/>
    <m/>
    <m/>
    <m/>
    <s v="?"/>
    <s v="pas de justificatif"/>
    <m/>
    <m/>
    <m/>
    <m/>
    <m/>
    <m/>
    <m/>
    <m/>
    <m/>
    <m/>
    <m/>
    <m/>
    <m/>
    <m/>
    <m/>
    <m/>
    <m/>
    <s v="Rehab"/>
    <n v="83"/>
    <m/>
    <m/>
    <m/>
    <n v="83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20-01-15T00:00:00"/>
    <m/>
    <n v="1461.5"/>
    <n v="12"/>
    <n v="13"/>
    <n v="13"/>
    <n v="15"/>
    <n v="1"/>
    <n v="2"/>
    <m/>
    <n v="0"/>
    <m/>
    <d v="2021-01-15T00:00:00"/>
    <d v="2021-02-15T00:00:00"/>
    <m/>
    <m/>
    <m/>
    <d v="2021-03-15T00:00:00"/>
    <d v="2021-04-15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d v="2021-02-15T00:00:00"/>
    <n v="0"/>
    <m/>
    <d v="2021-04-15T00:00:00"/>
    <m/>
    <m/>
    <m/>
    <m/>
    <n v="0"/>
    <n v="1476.7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RPA MERCURY (Terrain DAMOUR)"/>
    <s v="Tampon"/>
    <s v="CA SUD"/>
    <x v="10"/>
    <s v="PRLC 0204"/>
    <s v="APU"/>
    <s v="EGI"/>
    <s v="ESQ"/>
    <m/>
    <s v="CH 483 / 102"/>
    <s v="CPV CH 102 à signer_x000a_topo à compléter_x000a_CH 102 hors QPV_x000a_Mairie n'a pas donné son avis sur la programmation"/>
    <m/>
    <m/>
    <s v="CPV DAMOUR OK_x000a_manque CPV sur CH 102"/>
    <n v="1597"/>
    <m/>
    <m/>
    <m/>
    <n v="0"/>
    <n v="0"/>
    <e v="#DIV/0!"/>
    <n v="0"/>
    <n v="53.233333333333334"/>
    <m/>
    <m/>
    <m/>
    <m/>
    <m/>
    <s v="PLS"/>
    <n v="30"/>
    <m/>
    <m/>
    <n v="30"/>
    <m/>
    <n v="223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20-04-05T00:00:00"/>
    <m/>
    <n v="1464.2"/>
    <n v="16"/>
    <n v="17"/>
    <n v="16"/>
    <n v="17"/>
    <n v="0"/>
    <n v="0"/>
    <m/>
    <n v="0"/>
    <m/>
    <d v="2021-08-05T00:00:00"/>
    <d v="2021-08-05T00:00:00"/>
    <d v="1901-12-31T00:00:00"/>
    <m/>
    <m/>
    <d v="2021-09-05T00:00:00"/>
    <d v="2021-09-05T00:00:00"/>
    <m/>
    <m/>
    <m/>
    <m/>
    <m/>
    <m/>
    <m/>
    <m/>
    <m/>
    <m/>
    <m/>
    <m/>
    <m/>
    <m/>
    <m/>
    <m/>
    <m/>
    <m/>
    <m/>
    <m/>
    <m/>
    <d v="2018-02-19T00:00:00"/>
    <d v="2018-02-20T00:00:00"/>
    <m/>
    <s v="0"/>
    <d v="2018-06-15T00:00:00"/>
    <d v="2018-06-15T00:00:00"/>
    <n v="0"/>
    <d v="2018-05-25T00:00:00"/>
    <d v="2018-05-25T00:00:00"/>
    <n v="0"/>
    <d v="2018-08-14T00:00:00"/>
    <d v="2018-08-14T00:00:00"/>
    <n v="0"/>
    <d v="2018-10-15T00:00:00"/>
    <d v="2018-10-15T00:00:00"/>
    <n v="0"/>
    <m/>
    <d v="2019-07-30T00:00:00"/>
    <d v="2019-07-30T00:00:00"/>
    <n v="0"/>
    <d v="2019-08-14T00:00:00"/>
    <d v="2019-08-14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1-04-05T00:00:00"/>
    <d v="2021-08-05T00:00:00"/>
    <n v="20"/>
    <d v="2021-05-05T00:00:00"/>
    <d v="2021-09-05T00:00:00"/>
    <n v="0"/>
    <n v="0"/>
    <m/>
    <m/>
    <n v="0"/>
    <n v="4.0999999999999996"/>
    <m/>
    <m/>
    <s v="analyse MOE à faire par FBR / faire mail à ASI"/>
    <m/>
    <m/>
    <m/>
    <n v="5276624"/>
    <n v="0"/>
    <n v="-5276624"/>
    <n v="2358.7948144836837"/>
    <n v="175887.46666666667"/>
    <m/>
    <m/>
    <n v="0"/>
    <e v="#DIV/0!"/>
    <n v="0.4"/>
    <n v="1821843"/>
    <x v="59"/>
    <n v="60728.1"/>
    <m/>
    <n v="3454781"/>
    <x v="66"/>
    <m/>
    <m/>
    <n v="-3454781"/>
    <n v="115159.36666666667"/>
    <m/>
    <m/>
    <x v="50"/>
    <m/>
    <n v="0"/>
    <m/>
    <x v="0"/>
    <n v="0"/>
    <n v="0"/>
    <n v="60728.1"/>
    <n v="0"/>
    <n v="6.31"/>
    <m/>
    <m/>
    <m/>
    <n v="60728.1"/>
    <m/>
    <n v="0"/>
    <n v="0.34526678421657486"/>
    <m/>
    <m/>
    <x v="8"/>
    <n v="5276624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CTAVIE LLS"/>
    <s v="Tampon"/>
    <s v="CA SUD"/>
    <x v="8"/>
    <m/>
    <s v="ADE"/>
    <m/>
    <s v="ESQ"/>
    <m/>
    <s v="CH 162"/>
    <s v="topo complémentaire en cours sur riverains_x000a_bornage à fournir par le propriétaire_x000a_CPV signé - prend fin au 31/12/18"/>
    <s v="SITA"/>
    <m/>
    <m/>
    <n v="5498"/>
    <n v="924932"/>
    <m/>
    <m/>
    <m/>
    <m/>
    <m/>
    <m/>
    <m/>
    <m/>
    <m/>
    <s v="UB"/>
    <n v="580"/>
    <n v="0.1"/>
    <s v="LLS"/>
    <n v="42"/>
    <n v="4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19-07-01T00:00:00"/>
    <m/>
    <n v="1454.9"/>
    <n v="24"/>
    <n v="25"/>
    <n v="24"/>
    <n v="25"/>
    <n v="0"/>
    <n v="0"/>
    <m/>
    <n v="0"/>
    <m/>
    <d v="2021-07-01T00:00:00"/>
    <d v="2021-07-01T00:00:00"/>
    <d v="1901-12-31T00:00:00"/>
    <m/>
    <m/>
    <d v="2021-08-01T00:00:00"/>
    <d v="2021-08-0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d v="2021-07-01T00:00:00"/>
    <n v="0"/>
    <m/>
    <d v="2021-08-01T00:00:00"/>
    <m/>
    <m/>
    <m/>
    <m/>
    <n v="0"/>
    <n v="1480.3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n v="417427"/>
    <n v="41743"/>
    <d v="2017-10-18T00:00:00"/>
    <n v="4174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CTAVIE LLTS"/>
    <s v="Tampon"/>
    <s v="CA SUD"/>
    <x v="8"/>
    <m/>
    <s v="ADE"/>
    <m/>
    <s v="ESQ"/>
    <m/>
    <s v="CH 162"/>
    <s v="topo complémentaire en cours sur riverains_x000a_bornage à fournir par le propriétaire_x000a_CPV en cours"/>
    <s v="SITA"/>
    <m/>
    <m/>
    <n v="5498"/>
    <n v="1219167"/>
    <m/>
    <m/>
    <m/>
    <m/>
    <m/>
    <m/>
    <m/>
    <m/>
    <m/>
    <s v="UB"/>
    <n v="580"/>
    <n v="0.1"/>
    <s v="LLTS"/>
    <n v="53"/>
    <m/>
    <n v="5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19-07-01T00:00:00"/>
    <m/>
    <n v="1454.9"/>
    <n v="24"/>
    <n v="25"/>
    <n v="24"/>
    <n v="25"/>
    <n v="0"/>
    <n v="0"/>
    <m/>
    <n v="0"/>
    <m/>
    <d v="2021-07-01T00:00:00"/>
    <d v="2021-07-01T00:00:00"/>
    <d v="1901-12-31T00:00:00"/>
    <m/>
    <m/>
    <d v="2021-08-01T00:00:00"/>
    <d v="2021-08-0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n v="43163"/>
    <s v="0"/>
    <m/>
    <m/>
    <s v="0"/>
    <m/>
    <m/>
    <s v="0"/>
    <m/>
    <m/>
    <s v="0"/>
    <m/>
    <m/>
    <s v="0"/>
    <m/>
    <m/>
    <m/>
    <m/>
    <d v="2021-07-01T00:00:00"/>
    <n v="0"/>
    <m/>
    <d v="2021-08-01T00:00:00"/>
    <m/>
    <m/>
    <m/>
    <m/>
    <n v="0"/>
    <n v="1480.3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n v="325108"/>
    <n v="32511"/>
    <d v="2017-10-18T00:00:00"/>
    <n v="3251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Galien"/>
    <s v="St Philippe"/>
    <s v="CA SUD"/>
    <x v="8"/>
    <s v="PRLC 0196"/>
    <s v="BBL"/>
    <m/>
    <s v="ESQ"/>
    <m/>
    <s v="AT 72"/>
    <s v=" Bornage en cours_x000a_Mettre en place portage EPFR"/>
    <m/>
    <m/>
    <m/>
    <n v="4233"/>
    <n v="326183.14657415438"/>
    <m/>
    <n v="17167.534030218652"/>
    <n v="77.05720448243666"/>
    <n v="0"/>
    <e v="#DIV/0!"/>
    <n v="0"/>
    <n v="222.78947368421052"/>
    <m/>
    <n v="0"/>
    <s v="UC"/>
    <n v="60"/>
    <m/>
    <s v="LLTS"/>
    <n v="19"/>
    <m/>
    <n v="19"/>
    <m/>
    <m/>
    <m/>
    <m/>
    <n v="0"/>
    <m/>
    <m/>
    <m/>
    <m/>
    <m/>
    <m/>
    <m/>
    <m/>
    <m/>
    <s v="collectif"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s v="SO"/>
    <m/>
    <m/>
    <d v="2020-07-01T00:00:00"/>
    <m/>
    <n v="1467.1"/>
    <n v="14"/>
    <n v="15"/>
    <n v="14"/>
    <n v="15"/>
    <n v="0"/>
    <n v="0"/>
    <m/>
    <n v="0"/>
    <m/>
    <d v="2021-09-01T00:00:00"/>
    <d v="2021-09-01T00:00:00"/>
    <d v="1901-12-31T00:00:00"/>
    <m/>
    <m/>
    <d v="2021-10-01T00:00:00"/>
    <d v="2021-10-0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1-09-01T00:00:00"/>
    <n v="0"/>
    <m/>
    <d v="2021-10-01T00:00:00"/>
    <m/>
    <m/>
    <m/>
    <m/>
    <n v="0"/>
    <n v="1482.3333333333333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n v="179535"/>
    <n v="62837.75"/>
    <d v="2017-05-22T00:00:00"/>
    <n v="17954"/>
    <m/>
    <m/>
    <m/>
    <n v="8976.75"/>
    <m/>
    <n v="17953.5"/>
    <m/>
    <n v="17953.5"/>
    <m/>
    <n v="0"/>
    <m/>
    <m/>
    <m/>
    <m/>
    <m/>
    <m/>
    <m/>
    <m/>
    <m/>
    <m/>
    <m/>
    <m/>
    <m/>
    <m/>
    <m/>
    <m/>
    <e v="#VALUE!"/>
    <m/>
    <m/>
    <m/>
    <m/>
    <m/>
  </r>
  <r>
    <s v="Bellevue A-B-C"/>
    <s v="Tampon"/>
    <s v="CA SUD"/>
    <x v="10"/>
    <m/>
    <s v="JER"/>
    <s v="NLE"/>
    <s v="Faisa"/>
    <m/>
    <s v="BW 2862"/>
    <s v="Acte sur BW 1750 / 1752 / 1789_x000a_manque les justificatifs sur les autres parcelles"/>
    <s v="SODEGIS"/>
    <s v="Poudroux"/>
    <d v="1995-08-01T00:00:00"/>
    <m/>
    <m/>
    <m/>
    <m/>
    <m/>
    <m/>
    <m/>
    <m/>
    <m/>
    <m/>
    <m/>
    <m/>
    <m/>
    <m/>
    <s v="Rehab"/>
    <n v="128"/>
    <m/>
    <m/>
    <m/>
    <n v="128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9-01-15T00:00:00"/>
    <m/>
    <n v="1449.3333333333333"/>
    <n v="12"/>
    <n v="13"/>
    <n v="13"/>
    <n v="15"/>
    <n v="1"/>
    <n v="2"/>
    <m/>
    <n v="0"/>
    <m/>
    <d v="2020-01-15T00:00:00"/>
    <d v="2020-02-15T00:00:00"/>
    <m/>
    <m/>
    <m/>
    <d v="2020-03-15T00:00:00"/>
    <d v="2020-04-15T00:00:00"/>
    <m/>
    <m/>
    <m/>
    <m/>
    <m/>
    <m/>
    <m/>
    <m/>
    <m/>
    <m/>
    <m/>
    <m/>
    <m/>
    <m/>
    <m/>
    <m/>
    <m/>
    <m/>
    <m/>
    <m/>
    <m/>
    <d v="2017-07-19T00:00:00"/>
    <m/>
    <m/>
    <s v="0"/>
    <d v="2017-10-30T00:00:00"/>
    <d v="2018-03-04T00:00:00"/>
    <n v="125"/>
    <d v="2017-10-09T00:00:00"/>
    <d v="2018-03-04T00:00:00"/>
    <n v="146"/>
    <d v="2017-12-29T00:00:00"/>
    <d v="2018-03-04T00:00:00"/>
    <n v="65"/>
    <d v="2018-02-27T00:00:00"/>
    <d v="2018-03-04T00:00:00"/>
    <n v="5"/>
    <m/>
    <d v="2019-05-17T00:00:00"/>
    <d v="2019-05-17T00:00:00"/>
    <n v="0"/>
    <d v="2019-05-31T00:00:00"/>
    <d v="2019-05-31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1-20T00:00:00"/>
    <d v="2020-02-15T00:00:00"/>
    <n v="7.8"/>
    <d v="2021-07-01T00:00:00"/>
    <d v="2020-04-15T00:00:00"/>
    <n v="0"/>
    <n v="0"/>
    <m/>
    <m/>
    <n v="11.366666666666667"/>
    <n v="-14.733333333333333"/>
    <m/>
    <m/>
    <s v="DIAG reçu / valider pgr travaux / revue de projet 20/02"/>
    <m/>
    <m/>
    <m/>
    <n v="3625157"/>
    <n v="0"/>
    <n v="-3625157"/>
    <e v="#DIV/0!"/>
    <n v="28321.5390625"/>
    <m/>
    <m/>
    <n v="0"/>
    <e v="#DIV/0!"/>
    <n v="0.4"/>
    <m/>
    <x v="59"/>
    <n v="0"/>
    <m/>
    <n v="2559532"/>
    <x v="66"/>
    <m/>
    <m/>
    <n v="-2559532"/>
    <n v="19996.34375"/>
    <m/>
    <n v="800000"/>
    <x v="50"/>
    <m/>
    <n v="0.22068009744129702"/>
    <n v="265625"/>
    <x v="0"/>
    <n v="-800000"/>
    <n v="6250"/>
    <n v="6250"/>
    <n v="-6250"/>
    <n v="6.31"/>
    <m/>
    <m/>
    <m/>
    <n v="6250"/>
    <m/>
    <n v="0"/>
    <n v="0.22068009744129702"/>
    <m/>
    <m/>
    <x v="8"/>
    <n v="3625157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Canal Lilis"/>
    <s v="St Joseph"/>
    <s v="CA SUD"/>
    <x v="10"/>
    <m/>
    <s v="JER"/>
    <s v="NLE"/>
    <s v="DIAG"/>
    <m/>
    <s v="BN 1004"/>
    <s v="BN 787 / 789 n'existent plus au cadastre"/>
    <s v="SODEGIS"/>
    <s v="Esparon"/>
    <s v="29/04/1994_x000a_27/07/93"/>
    <m/>
    <m/>
    <m/>
    <m/>
    <m/>
    <m/>
    <m/>
    <m/>
    <m/>
    <m/>
    <m/>
    <m/>
    <m/>
    <m/>
    <s v="Rehab"/>
    <n v="23"/>
    <m/>
    <m/>
    <m/>
    <n v="23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9-01-15T00:00:00"/>
    <m/>
    <n v="1449.3333333333333"/>
    <n v="12"/>
    <n v="13"/>
    <n v="13"/>
    <n v="15"/>
    <n v="1"/>
    <n v="2"/>
    <m/>
    <n v="0"/>
    <m/>
    <d v="2020-01-15T00:00:00"/>
    <d v="2020-02-15T00:00:00"/>
    <m/>
    <m/>
    <m/>
    <d v="2020-03-15T00:00:00"/>
    <d v="2020-04-15T00:00:00"/>
    <m/>
    <m/>
    <m/>
    <m/>
    <m/>
    <m/>
    <m/>
    <m/>
    <m/>
    <m/>
    <m/>
    <m/>
    <m/>
    <m/>
    <m/>
    <m/>
    <m/>
    <m/>
    <m/>
    <m/>
    <m/>
    <m/>
    <m/>
    <m/>
    <s v="0"/>
    <d v="2017-09-29T00:00:00"/>
    <d v="2018-03-04T00:00:00"/>
    <n v="156"/>
    <d v="2017-09-08T00:00:00"/>
    <d v="2018-03-04T00:00:00"/>
    <n v="177"/>
    <d v="2017-11-28T00:00:00"/>
    <d v="2018-03-04T00:00:00"/>
    <n v="96"/>
    <d v="2018-01-26T00:00:00"/>
    <d v="2018-03-04T00:00:00"/>
    <n v="37"/>
    <m/>
    <d v="2019-04-17T00:00:00"/>
    <d v="2019-04-17T00:00:00"/>
    <n v="0"/>
    <d v="2019-05-02T00:00:00"/>
    <d v="2019-05-02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1-20T00:00:00"/>
    <d v="2020-02-15T00:00:00"/>
    <n v="8.7666666666666675"/>
    <d v="2021-05-31T00:00:00"/>
    <d v="2020-04-15T00:00:00"/>
    <n v="0"/>
    <n v="0"/>
    <m/>
    <m/>
    <n v="15.533333333333333"/>
    <n v="-13.7"/>
    <m/>
    <m/>
    <s v="DIAG reçu / valider pgr travaux / revue de projet 20/02"/>
    <m/>
    <m/>
    <m/>
    <n v="993116"/>
    <n v="0"/>
    <n v="-993116"/>
    <e v="#DIV/0!"/>
    <n v="43178.956521739128"/>
    <m/>
    <m/>
    <n v="0"/>
    <e v="#DIV/0!"/>
    <n v="0.4"/>
    <m/>
    <x v="59"/>
    <n v="0"/>
    <m/>
    <n v="515036"/>
    <x v="66"/>
    <m/>
    <m/>
    <n v="-515036"/>
    <n v="22392.869565217392"/>
    <m/>
    <n v="298080"/>
    <x v="50"/>
    <m/>
    <n v="0.30014620648544582"/>
    <n v="180000"/>
    <x v="0"/>
    <n v="-298080"/>
    <n v="12960"/>
    <n v="12960"/>
    <n v="-12960"/>
    <n v="6.31"/>
    <m/>
    <m/>
    <m/>
    <n v="12960"/>
    <m/>
    <n v="0"/>
    <n v="0.30014620648544582"/>
    <m/>
    <m/>
    <x v="8"/>
    <n v="993116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La Cure"/>
    <s v="St Joseph"/>
    <s v="CA SUD"/>
    <x v="10"/>
    <m/>
    <s v="JER"/>
    <s v="NLE"/>
    <s v="DIAG"/>
    <m/>
    <s v="BN 781"/>
    <s v="manque les autres parcelles"/>
    <s v="SODEGIS"/>
    <s v="LAGOURGUE"/>
    <d v="1993-01-25T00:00:00"/>
    <m/>
    <m/>
    <m/>
    <m/>
    <m/>
    <m/>
    <m/>
    <m/>
    <m/>
    <m/>
    <m/>
    <m/>
    <m/>
    <m/>
    <s v="Rehab"/>
    <n v="30"/>
    <m/>
    <m/>
    <m/>
    <n v="30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9-01-15T00:00:00"/>
    <m/>
    <n v="1449.3333333333333"/>
    <n v="12"/>
    <n v="13"/>
    <n v="13"/>
    <n v="15"/>
    <n v="1"/>
    <n v="2"/>
    <m/>
    <n v="0"/>
    <m/>
    <d v="2020-01-15T00:00:00"/>
    <d v="2020-02-15T00:00:00"/>
    <m/>
    <m/>
    <m/>
    <d v="2020-03-15T00:00:00"/>
    <d v="2020-04-15T00:00:00"/>
    <m/>
    <m/>
    <m/>
    <m/>
    <m/>
    <m/>
    <m/>
    <m/>
    <m/>
    <m/>
    <m/>
    <m/>
    <m/>
    <m/>
    <m/>
    <m/>
    <m/>
    <m/>
    <m/>
    <m/>
    <m/>
    <m/>
    <m/>
    <m/>
    <s v="0"/>
    <d v="2017-08-22T00:00:00"/>
    <d v="2018-03-04T00:00:00"/>
    <n v="194"/>
    <d v="2017-08-01T00:00:00"/>
    <d v="2018-03-04T00:00:00"/>
    <n v="215"/>
    <d v="2017-10-20T00:00:00"/>
    <d v="2018-03-04T00:00:00"/>
    <n v="135"/>
    <d v="2017-12-20T00:00:00"/>
    <d v="2018-03-04T00:00:00"/>
    <n v="74"/>
    <m/>
    <d v="2019-03-08T00:00:00"/>
    <d v="2019-03-08T00:00:00"/>
    <n v="0"/>
    <d v="2019-03-25T00:00:00"/>
    <d v="2019-03-25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20-01-10T00:00:00"/>
    <d v="2020-02-15T00:00:00"/>
    <n v="9.6999999999999993"/>
    <d v="2021-04-23T00:00:00"/>
    <d v="2020-04-15T00:00:00"/>
    <n v="0"/>
    <n v="0"/>
    <m/>
    <m/>
    <n v="20.6"/>
    <n v="-12.433333333333334"/>
    <m/>
    <m/>
    <s v="DIAG reçu / valider pgr travaux / revue de projet 20/02"/>
    <m/>
    <m/>
    <m/>
    <n v="983249.38"/>
    <n v="0"/>
    <n v="-983249.38"/>
    <e v="#DIV/0!"/>
    <n v="32774.979333333336"/>
    <m/>
    <m/>
    <n v="0"/>
    <e v="#DIV/0!"/>
    <n v="0.4"/>
    <m/>
    <x v="59"/>
    <n v="0"/>
    <m/>
    <n v="545749.38"/>
    <x v="66"/>
    <m/>
    <m/>
    <n v="-545749.38"/>
    <n v="18191.646000000001"/>
    <m/>
    <n v="187500"/>
    <x v="50"/>
    <m/>
    <n v="0.19069424686542899"/>
    <n v="250000"/>
    <x v="0"/>
    <n v="-187500"/>
    <n v="6250"/>
    <n v="6250"/>
    <n v="-6250"/>
    <n v="6.31"/>
    <m/>
    <m/>
    <m/>
    <n v="6250"/>
    <m/>
    <n v="0"/>
    <n v="0.19069424686542899"/>
    <m/>
    <m/>
    <x v="8"/>
    <n v="983249.38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SAFER"/>
    <s v="Trois Bassins"/>
    <s v="TCO"/>
    <x v="8"/>
    <s v="PRLC 0201"/>
    <m/>
    <m/>
    <s v="ESQ"/>
    <m/>
    <s v="AH 893 / AH 975"/>
    <s v="regrouper pièces pour lancer consultation MOE - topo en cours_x000a_étudier scénario raccordement EU / ANC_x000a_CPV en cours de rédaction_x000a_manque évaluation domaines TCO"/>
    <m/>
    <m/>
    <m/>
    <m/>
    <m/>
    <m/>
    <n v="0"/>
    <e v="#DIV/0!"/>
    <e v="#DIV/0!"/>
    <e v="#DIV/0!"/>
    <n v="0"/>
    <n v="0"/>
    <m/>
    <m/>
    <m/>
    <m/>
    <m/>
    <s v="LLTS"/>
    <n v="60"/>
    <m/>
    <n v="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SO"/>
    <m/>
    <m/>
    <d v="2020-07-01T00:00:00"/>
    <m/>
    <n v="1467.1"/>
    <n v="18"/>
    <n v="19"/>
    <n v="18"/>
    <n v="19"/>
    <n v="0"/>
    <n v="0"/>
    <m/>
    <n v="0"/>
    <m/>
    <d v="2022-01-01T00:00:00"/>
    <d v="2022-01-01T00:00:00"/>
    <d v="1901-12-31T00:00:00"/>
    <m/>
    <m/>
    <d v="2022-02-01T00:00:00"/>
    <d v="2022-02-0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2-01-01T00:00:00"/>
    <n v="0"/>
    <m/>
    <d v="2022-02-01T00:00:00"/>
    <m/>
    <m/>
    <m/>
    <m/>
    <n v="0"/>
    <n v="1486.4333333333334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Poinsétias"/>
    <s v="Entre-Deux"/>
    <s v="CA SUD"/>
    <x v="10"/>
    <m/>
    <s v="JER"/>
    <s v="NLE"/>
    <s v="Faisa"/>
    <m/>
    <s v="AS 1450"/>
    <s v="AS 62, 63, 64, 513 v n'existent plus au cadastre"/>
    <s v="SODEGIS"/>
    <s v="Hoarau"/>
    <d v="1993-12-16T00:00:00"/>
    <m/>
    <m/>
    <m/>
    <m/>
    <m/>
    <m/>
    <m/>
    <m/>
    <m/>
    <m/>
    <m/>
    <m/>
    <m/>
    <m/>
    <s v="Rehab"/>
    <n v="34"/>
    <m/>
    <m/>
    <m/>
    <n v="34"/>
    <m/>
    <m/>
    <m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m/>
    <m/>
    <m/>
    <d v="2019-01-15T00:00:00"/>
    <m/>
    <n v="1449.3333333333333"/>
    <n v="12"/>
    <n v="13"/>
    <n v="13"/>
    <n v="15"/>
    <n v="1"/>
    <n v="2"/>
    <m/>
    <n v="0"/>
    <m/>
    <d v="2020-01-15T00:00:00"/>
    <d v="2020-02-15T00:00:00"/>
    <m/>
    <m/>
    <m/>
    <d v="2020-03-15T00:00:00"/>
    <d v="2020-04-15T00:00:00"/>
    <m/>
    <m/>
    <m/>
    <m/>
    <m/>
    <m/>
    <m/>
    <m/>
    <m/>
    <m/>
    <m/>
    <m/>
    <m/>
    <m/>
    <m/>
    <m/>
    <m/>
    <m/>
    <m/>
    <m/>
    <m/>
    <d v="2017-07-11T00:00:00"/>
    <m/>
    <m/>
    <s v="0"/>
    <d v="2017-11-28T00:00:00"/>
    <d v="2018-03-04T00:00:00"/>
    <n v="96"/>
    <d v="2017-11-07T00:00:00"/>
    <d v="2018-03-04T00:00:00"/>
    <n v="117"/>
    <d v="2018-01-26T00:00:00"/>
    <d v="2018-03-04T00:00:00"/>
    <n v="37"/>
    <d v="2018-03-28T00:00:00"/>
    <d v="2018-03-28T00:00:00"/>
    <n v="0"/>
    <m/>
    <d v="2019-06-14T00:00:00"/>
    <d v="2019-06-14T00:00:00"/>
    <n v="0"/>
    <d v="2019-07-01T00:00:00"/>
    <d v="2019-07-01T00:00:00"/>
    <n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d v="2018-03-04T00:00:00"/>
    <s v="0"/>
    <m/>
    <m/>
    <m/>
    <d v="2019-12-12T00:00:00"/>
    <d v="2020-02-15T00:00:00"/>
    <n v="5.4666666666666668"/>
    <d v="2021-07-30T00:00:00"/>
    <d v="2020-04-15T00:00:00"/>
    <n v="0"/>
    <n v="0"/>
    <m/>
    <m/>
    <n v="8.3333333333333339"/>
    <n v="-15.7"/>
    <m/>
    <m/>
    <s v="DIAG reçu / valider pgr travaux / revue de projet 20/02"/>
    <m/>
    <m/>
    <m/>
    <n v="842164"/>
    <n v="0"/>
    <n v="-842164"/>
    <e v="#DIV/0!"/>
    <n v="24769.529411764706"/>
    <m/>
    <m/>
    <n v="0"/>
    <e v="#DIV/0!"/>
    <n v="0.4"/>
    <m/>
    <x v="59"/>
    <n v="0"/>
    <m/>
    <n v="289664"/>
    <x v="66"/>
    <m/>
    <m/>
    <n v="-289664"/>
    <n v="8519.5294117647063"/>
    <m/>
    <n v="212500"/>
    <x v="50"/>
    <m/>
    <n v="0.25232615025102001"/>
    <n v="340000"/>
    <x v="0"/>
    <n v="-212500"/>
    <n v="6250"/>
    <n v="6250"/>
    <n v="-6250"/>
    <n v="6.31"/>
    <m/>
    <m/>
    <m/>
    <n v="6250"/>
    <m/>
    <n v="0"/>
    <n v="0.25232615025102001"/>
    <m/>
    <m/>
    <x v="8"/>
    <n v="842164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Arizona"/>
    <s v="Tampon"/>
    <s v="CA SUD"/>
    <x v="9"/>
    <m/>
    <s v="FVA"/>
    <m/>
    <s v="ESQ"/>
    <m/>
    <s v="CX 759 p"/>
    <s v="courrier envoyé à la Mairie sur prix du foncier : pas de réponse"/>
    <m/>
    <m/>
    <m/>
    <n v="12700"/>
    <n v="787400"/>
    <m/>
    <n v="27151.724137931036"/>
    <n v="62"/>
    <n v="0"/>
    <e v="#DIV/0!"/>
    <n v="0"/>
    <n v="437.93103448275861"/>
    <m/>
    <n v="0"/>
    <m/>
    <m/>
    <m/>
    <s v="LLTS"/>
    <n v="29"/>
    <m/>
    <n v="29"/>
    <m/>
    <m/>
    <n v="2492.9699999999998"/>
    <m/>
    <n v="0"/>
    <m/>
    <m/>
    <m/>
    <m/>
    <m/>
    <m/>
    <m/>
    <m/>
    <m/>
    <m/>
    <m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m/>
    <m/>
    <m/>
    <s v="SO"/>
    <m/>
    <m/>
    <d v="2022-02-01T00:00:00"/>
    <m/>
    <n v="1486.4333333333334"/>
    <n v="18"/>
    <n v="19"/>
    <n v="18"/>
    <n v="19"/>
    <n v="0"/>
    <n v="0"/>
    <m/>
    <n v="0"/>
    <m/>
    <d v="2023-08-01T00:00:00"/>
    <d v="2023-08-01T00:00:00"/>
    <d v="1901-12-31T00:00:00"/>
    <m/>
    <m/>
    <d v="2023-09-01T00:00:00"/>
    <d v="2023-09-01T00:00:00"/>
    <m/>
    <m/>
    <m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3-08-01T00:00:00"/>
    <n v="0"/>
    <m/>
    <d v="2023-09-01T00:00:00"/>
    <m/>
    <m/>
    <m/>
    <m/>
    <n v="0"/>
    <n v="1505.6666666666667"/>
    <m/>
    <m/>
    <m/>
    <m/>
    <m/>
    <m/>
    <n v="0"/>
    <n v="0"/>
    <n v="0"/>
    <n v="0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n v="192726"/>
    <n v="67454.500000000015"/>
    <d v="2016-07-28T00:00:00"/>
    <n v="19273"/>
    <m/>
    <m/>
    <m/>
    <n v="9636.3000000000011"/>
    <m/>
    <n v="19272.600000000002"/>
    <m/>
    <n v="19272.600000000002"/>
    <m/>
    <n v="0"/>
    <m/>
    <m/>
    <m/>
    <m/>
    <m/>
    <m/>
    <m/>
    <m/>
    <m/>
    <m/>
    <m/>
    <m/>
    <m/>
    <m/>
    <m/>
    <m/>
    <e v="#VALUE!"/>
    <m/>
    <m/>
    <m/>
    <m/>
    <m/>
  </r>
  <r>
    <s v="VEFA Miami"/>
    <s v="La Possession"/>
    <s v="TCO"/>
    <x v="8"/>
    <m/>
    <m/>
    <m/>
    <s v="ESQ"/>
    <m/>
    <m/>
    <m/>
    <m/>
    <m/>
    <m/>
    <m/>
    <m/>
    <m/>
    <m/>
    <e v="#DIV/0!"/>
    <e v="#DIV/0!"/>
    <e v="#DIV/0!"/>
    <n v="0"/>
    <n v="0"/>
    <m/>
    <m/>
    <m/>
    <m/>
    <m/>
    <s v="PLS"/>
    <n v="60"/>
    <m/>
    <m/>
    <n v="6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n v="0"/>
    <m/>
    <m/>
    <m/>
    <m/>
    <m/>
    <m/>
    <m/>
    <m/>
    <n v="0"/>
    <m/>
    <m/>
    <m/>
    <m/>
    <d v="1899-12-30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1899-12-30T00:00:00"/>
    <n v="0"/>
    <m/>
    <d v="1899-12-30T00:00:00"/>
    <m/>
    <m/>
    <m/>
    <m/>
    <n v="0"/>
    <n v="0"/>
    <m/>
    <m/>
    <m/>
    <m/>
    <m/>
    <m/>
    <m/>
    <n v="0"/>
    <m/>
    <m/>
    <m/>
    <m/>
    <m/>
    <m/>
    <m/>
    <m/>
    <m/>
    <x v="59"/>
    <m/>
    <m/>
    <m/>
    <x v="61"/>
    <m/>
    <m/>
    <m/>
    <m/>
    <m/>
    <m/>
    <x v="50"/>
    <m/>
    <m/>
    <m/>
    <x v="0"/>
    <m/>
    <m/>
    <m/>
    <m/>
    <m/>
    <m/>
    <m/>
    <m/>
    <m/>
    <m/>
    <m/>
    <m/>
    <m/>
    <m/>
    <x v="8"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BY 100"/>
    <s v="Tampon"/>
    <s v="CA SUD"/>
    <x v="9"/>
    <s v="PRLC 0171"/>
    <s v="APU"/>
    <m/>
    <s v="ESQ"/>
    <m/>
    <m/>
    <m/>
    <m/>
    <m/>
    <m/>
    <n v="5300"/>
    <n v="533400"/>
    <n v="533400"/>
    <n v="7620"/>
    <n v="100.64150943396227"/>
    <n v="100.64150943396227"/>
    <n v="81.033042157235087"/>
    <n v="6061.363636363636"/>
    <n v="60.227272727272727"/>
    <m/>
    <n v="1.2419811320754717"/>
    <s v="UB"/>
    <n v="560"/>
    <n v="0.1"/>
    <s v="LLTS"/>
    <n v="70"/>
    <m/>
    <n v="70"/>
    <m/>
    <m/>
    <n v="6582.5"/>
    <n v="6582.5"/>
    <n v="94.035714285714292"/>
    <n v="0.15"/>
    <n v="0.3"/>
    <n v="0.3"/>
    <n v="0.2"/>
    <n v="0.06"/>
    <m/>
    <n v="0"/>
    <n v="0"/>
    <m/>
    <s v="collectif"/>
    <s v="oui"/>
    <m/>
    <m/>
    <m/>
    <m/>
    <m/>
    <m/>
    <m/>
    <m/>
    <m/>
    <m/>
    <m/>
    <m/>
    <m/>
    <m/>
    <m/>
    <d v="1901-12-31T00:00:00"/>
    <d v="1902-12-31T00:00:00"/>
    <m/>
    <m/>
    <m/>
    <m/>
    <m/>
    <m/>
    <m/>
    <m/>
    <m/>
    <m/>
    <m/>
    <d v="1901-06-30T00:00:00"/>
    <m/>
    <m/>
    <s v="SO"/>
    <m/>
    <m/>
    <d v="2022-02-01T00:00:00"/>
    <m/>
    <n v="1486.4333333333334"/>
    <n v="24"/>
    <n v="25"/>
    <n v="24"/>
    <n v="25"/>
    <n v="0"/>
    <n v="0"/>
    <m/>
    <n v="0"/>
    <m/>
    <d v="2024-02-01T00:00:00"/>
    <d v="2024-02-01T00:00:00"/>
    <d v="1901-12-31T00:00:00"/>
    <m/>
    <m/>
    <d v="2024-03-01T00:00:00"/>
    <d v="2024-03-01T00:00:00"/>
    <m/>
    <m/>
    <m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4-02-01T00:00:00"/>
    <n v="0"/>
    <m/>
    <d v="2024-03-01T00:00:00"/>
    <m/>
    <m/>
    <m/>
    <m/>
    <n v="0"/>
    <n v="1511.7333333333333"/>
    <m/>
    <m/>
    <m/>
    <m/>
    <m/>
    <m/>
    <n v="0"/>
    <n v="0"/>
    <n v="0"/>
    <n v="0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n v="0"/>
    <m/>
    <m/>
    <m/>
    <n v="0"/>
    <m/>
    <n v="0"/>
    <m/>
    <m/>
    <m/>
    <m/>
    <m/>
    <m/>
    <m/>
    <m/>
    <m/>
    <m/>
    <m/>
    <m/>
    <m/>
    <m/>
    <m/>
    <m/>
    <m/>
    <m/>
    <m/>
    <m/>
    <e v="#VALUE!"/>
    <m/>
    <m/>
    <m/>
    <m/>
    <m/>
  </r>
  <r>
    <s v="Terrain Michel CV"/>
    <s v="St Joseph"/>
    <s v="CA SUD"/>
    <x v="11"/>
    <s v="PRLC 0151"/>
    <s v="YFR"/>
    <m/>
    <s v="APD"/>
    <s v="oui"/>
    <m/>
    <s v="MICHEL plus OK"/>
    <s v="MICHEL"/>
    <s v="MAREL"/>
    <m/>
    <n v="1736"/>
    <n v="448408"/>
    <n v="448408"/>
    <n v="23600.42105263158"/>
    <n v="258.29953917050693"/>
    <n v="258.29953917050693"/>
    <n v="274.7126718455167"/>
    <n v="23600.42105263158"/>
    <n v="91.368421052631575"/>
    <m/>
    <n v="0.94025345622119816"/>
    <s v="UA"/>
    <n v="50"/>
    <m/>
    <s v="LLTS"/>
    <n v="19"/>
    <m/>
    <n v="19"/>
    <m/>
    <m/>
    <n v="1584.58"/>
    <n v="1632.28"/>
    <n v="85.909473684210525"/>
    <m/>
    <n v="0.42105263157894735"/>
    <n v="0.36842105263157893"/>
    <n v="0.21052631578947367"/>
    <m/>
    <m/>
    <n v="0"/>
    <n v="0"/>
    <n v="3"/>
    <s v="collectif"/>
    <s v="oui"/>
    <d v="2013-11-13T00:00:00"/>
    <d v="2016-04-15T00:00:00"/>
    <s v="INTERINVEST"/>
    <m/>
    <s v="SO"/>
    <m/>
    <m/>
    <m/>
    <m/>
    <m/>
    <m/>
    <m/>
    <m/>
    <m/>
    <m/>
    <d v="1901-12-31T00:00:00"/>
    <d v="1902-12-31T00:00:00"/>
    <m/>
    <m/>
    <m/>
    <m/>
    <m/>
    <m/>
    <m/>
    <s v="MAREL"/>
    <m/>
    <m/>
    <m/>
    <d v="1901-06-30T00:00:00"/>
    <m/>
    <m/>
    <s v="SO"/>
    <m/>
    <m/>
    <d v="2022-02-01T00:00:00"/>
    <m/>
    <n v="1486.4333333333334"/>
    <n v="14"/>
    <n v="15"/>
    <n v="14"/>
    <n v="16"/>
    <n v="0"/>
    <n v="1"/>
    <m/>
    <n v="0"/>
    <m/>
    <d v="2023-04-01T00:00:00"/>
    <d v="2023-04-01T00:00:00"/>
    <d v="1901-12-31T00:00:00"/>
    <m/>
    <m/>
    <d v="2023-05-01T00:00:00"/>
    <d v="2023-06-01T00:00:00"/>
    <m/>
    <m/>
    <m/>
    <m/>
    <m/>
    <m/>
    <m/>
    <m/>
    <m/>
    <m/>
    <m/>
    <m/>
    <m/>
    <m/>
    <m/>
    <m/>
    <m/>
    <m/>
    <m/>
    <m/>
    <m/>
    <m/>
    <m/>
    <m/>
    <s v="0"/>
    <d v="2014-02-06T00:00:00"/>
    <d v="2012-02-07T00:00:00"/>
    <n v="-730"/>
    <m/>
    <m/>
    <s v="0"/>
    <m/>
    <m/>
    <s v="0"/>
    <m/>
    <m/>
    <s v="0"/>
    <m/>
    <d v="2015-12-15T00:00:00"/>
    <n v="42928"/>
    <n v="575"/>
    <d v="2017-07-27T00:00:00"/>
    <n v="42933"/>
    <n v="-10"/>
    <d v="2017-08-18T00:00:00"/>
    <n v="43038"/>
    <n v="73"/>
    <d v="2018-03-23T00:00:00"/>
    <d v="2018-03-23T00:00:00"/>
    <n v="0"/>
    <m/>
    <m/>
    <s v="0"/>
    <m/>
    <m/>
    <s v="0"/>
    <m/>
    <m/>
    <s v="0"/>
    <m/>
    <m/>
    <s v="0"/>
    <m/>
    <m/>
    <s v="0"/>
    <m/>
    <m/>
    <m/>
    <m/>
    <d v="2023-04-01T00:00:00"/>
    <e v="#NUM!"/>
    <m/>
    <d v="2023-06-01T00:00:00"/>
    <m/>
    <m/>
    <m/>
    <m/>
    <n v="-5.5"/>
    <n v="1502.6"/>
    <m/>
    <m/>
    <m/>
    <m/>
    <m/>
    <m/>
    <n v="0"/>
    <n v="0"/>
    <n v="0"/>
    <n v="0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n v="183150"/>
    <n v="45788"/>
    <d v="2014-01-02T00:00:00"/>
    <n v="17413"/>
    <m/>
    <m/>
    <d v="2014-02-26T00:00:00"/>
    <n v="8707"/>
    <d v="2014-06-30T00:00:00"/>
    <n v="19668"/>
    <m/>
    <m/>
    <m/>
    <m/>
    <m/>
    <m/>
    <m/>
    <m/>
    <m/>
    <m/>
    <m/>
    <m/>
    <m/>
    <m/>
    <m/>
    <m/>
    <m/>
    <m/>
    <m/>
    <m/>
    <n v="19668"/>
    <m/>
    <m/>
    <m/>
    <m/>
    <m/>
  </r>
  <r>
    <s v="VEFA Trefles"/>
    <s v="St Joseph"/>
    <s v="CA SUD"/>
    <x v="11"/>
    <m/>
    <m/>
    <m/>
    <s v="Faisa"/>
    <m/>
    <s v="BV 024,213 AO 716,726"/>
    <m/>
    <m/>
    <m/>
    <m/>
    <m/>
    <m/>
    <m/>
    <m/>
    <e v="#DIV/0!"/>
    <e v="#DIV/0!"/>
    <e v="#DIV/0!"/>
    <n v="0"/>
    <n v="0"/>
    <m/>
    <m/>
    <m/>
    <m/>
    <m/>
    <s v="LLTS"/>
    <n v="15"/>
    <m/>
    <n v="1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e v="#NUM!"/>
    <m/>
    <d v="2022-02-01T00:00:00"/>
    <m/>
    <n v="1486.4333333333334"/>
    <n v="16"/>
    <n v="17"/>
    <n v="16"/>
    <n v="17"/>
    <n v="0"/>
    <n v="0"/>
    <m/>
    <n v="0"/>
    <m/>
    <d v="2023-06-01T00:00:00"/>
    <d v="2023-06-01T00:00:00"/>
    <d v="1901-12-31T00:00:00"/>
    <m/>
    <m/>
    <d v="2023-07-01T00:00:00"/>
    <d v="2023-07-01T00:00:00"/>
    <m/>
    <m/>
    <m/>
    <m/>
    <m/>
    <m/>
    <m/>
    <m/>
    <m/>
    <m/>
    <m/>
    <m/>
    <m/>
    <m/>
    <m/>
    <m/>
    <m/>
    <m/>
    <m/>
    <m/>
    <m/>
    <m/>
    <m/>
    <m/>
    <s v="0"/>
    <m/>
    <m/>
    <s v="0"/>
    <m/>
    <m/>
    <s v="0"/>
    <m/>
    <m/>
    <s v="0"/>
    <m/>
    <m/>
    <s v="0"/>
    <m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s v="0"/>
    <m/>
    <m/>
    <m/>
    <m/>
    <d v="2023-06-01T00:00:00"/>
    <n v="0"/>
    <m/>
    <d v="2023-07-01T00:00:00"/>
    <m/>
    <m/>
    <m/>
    <m/>
    <n v="0"/>
    <n v="1503.6"/>
    <m/>
    <m/>
    <m/>
    <m/>
    <m/>
    <m/>
    <n v="0"/>
    <n v="0"/>
    <n v="0"/>
    <e v="#DIV/0!"/>
    <n v="0"/>
    <m/>
    <m/>
    <n v="0"/>
    <e v="#DIV/0!"/>
    <n v="0.4"/>
    <m/>
    <x v="59"/>
    <n v="0"/>
    <m/>
    <m/>
    <x v="66"/>
    <m/>
    <m/>
    <n v="0"/>
    <n v="0"/>
    <m/>
    <m/>
    <x v="50"/>
    <m/>
    <e v="#DIV/0!"/>
    <m/>
    <x v="0"/>
    <n v="0"/>
    <n v="0"/>
    <n v="0"/>
    <n v="0"/>
    <n v="6.31"/>
    <m/>
    <m/>
    <m/>
    <n v="0"/>
    <m/>
    <n v="0"/>
    <e v="#DIV/0!"/>
    <m/>
    <m/>
    <x v="8"/>
    <n v="0"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dataOnRows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N2055" firstHeaderRow="1" firstDataRow="2" firstDataCol="1"/>
  <pivotFields count="265">
    <pivotField showAll="0"/>
    <pivotField showAll="0"/>
    <pivotField showAll="0"/>
    <pivotField axis="axisCol" showAll="0">
      <items count="13">
        <item x="0"/>
        <item x="1"/>
        <item x="2"/>
        <item x="3"/>
        <item x="4"/>
        <item x="5"/>
        <item x="6"/>
        <item x="7"/>
        <item x="10"/>
        <item x="8"/>
        <item x="9"/>
        <item x="1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6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76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65">
        <item x="0"/>
        <item x="5"/>
        <item x="16"/>
        <item x="6"/>
        <item x="25"/>
        <item x="41"/>
        <item x="18"/>
        <item x="31"/>
        <item x="28"/>
        <item x="8"/>
        <item x="21"/>
        <item x="13"/>
        <item x="15"/>
        <item x="37"/>
        <item x="38"/>
        <item x="30"/>
        <item x="3"/>
        <item x="36"/>
        <item x="39"/>
        <item x="46"/>
        <item x="17"/>
        <item x="42"/>
        <item x="29"/>
        <item x="1"/>
        <item x="51"/>
        <item x="44"/>
        <item x="60"/>
        <item x="49"/>
        <item x="54"/>
        <item x="4"/>
        <item x="14"/>
        <item x="61"/>
        <item x="55"/>
        <item x="48"/>
        <item x="34"/>
        <item x="57"/>
        <item x="35"/>
        <item x="7"/>
        <item x="10"/>
        <item x="50"/>
        <item x="52"/>
        <item x="24"/>
        <item x="53"/>
        <item x="47"/>
        <item x="63"/>
        <item x="22"/>
        <item x="27"/>
        <item x="43"/>
        <item x="32"/>
        <item x="58"/>
        <item x="19"/>
        <item x="26"/>
        <item x="33"/>
        <item x="40"/>
        <item x="2"/>
        <item x="45"/>
        <item x="9"/>
        <item x="12"/>
        <item x="23"/>
        <item x="62"/>
        <item x="56"/>
        <item x="11"/>
        <item x="20"/>
        <item x="59"/>
        <item t="default"/>
      </items>
    </pivotField>
    <pivotField showAll="0"/>
    <pivotField showAll="0"/>
    <pivotField showAll="0"/>
    <pivotField axis="axisRow" dataField="1" showAll="0">
      <items count="70">
        <item x="66"/>
        <item x="6"/>
        <item x="7"/>
        <item x="18"/>
        <item x="43"/>
        <item x="27"/>
        <item x="10"/>
        <item x="20"/>
        <item x="33"/>
        <item x="15"/>
        <item x="30"/>
        <item x="8"/>
        <item x="32"/>
        <item x="39"/>
        <item x="17"/>
        <item x="23"/>
        <item x="4"/>
        <item x="40"/>
        <item x="38"/>
        <item x="53"/>
        <item x="41"/>
        <item x="48"/>
        <item x="36"/>
        <item x="63"/>
        <item x="19"/>
        <item x="62"/>
        <item x="56"/>
        <item x="59"/>
        <item x="44"/>
        <item x="31"/>
        <item x="51"/>
        <item x="46"/>
        <item x="50"/>
        <item x="57"/>
        <item x="2"/>
        <item x="0"/>
        <item x="16"/>
        <item x="1"/>
        <item x="5"/>
        <item x="37"/>
        <item x="55"/>
        <item x="54"/>
        <item x="12"/>
        <item x="26"/>
        <item x="9"/>
        <item x="65"/>
        <item x="52"/>
        <item x="49"/>
        <item x="68"/>
        <item x="29"/>
        <item x="67"/>
        <item x="24"/>
        <item x="45"/>
        <item x="60"/>
        <item x="34"/>
        <item x="28"/>
        <item x="21"/>
        <item x="35"/>
        <item x="42"/>
        <item x="47"/>
        <item x="64"/>
        <item x="25"/>
        <item x="11"/>
        <item x="3"/>
        <item x="14"/>
        <item x="58"/>
        <item x="13"/>
        <item x="22"/>
        <item x="61"/>
        <item t="default"/>
      </items>
    </pivotField>
    <pivotField showAll="0"/>
    <pivotField showAll="0"/>
    <pivotField showAll="0"/>
    <pivotField showAll="0"/>
    <pivotField showAll="0"/>
    <pivotField showAll="0"/>
    <pivotField axis="axisRow" dataField="1" showAll="0">
      <items count="53">
        <item x="9"/>
        <item x="10"/>
        <item x="14"/>
        <item x="7"/>
        <item x="6"/>
        <item x="19"/>
        <item x="17"/>
        <item x="38"/>
        <item x="24"/>
        <item x="5"/>
        <item x="16"/>
        <item x="36"/>
        <item x="43"/>
        <item x="41"/>
        <item x="3"/>
        <item x="32"/>
        <item x="2"/>
        <item x="26"/>
        <item x="4"/>
        <item x="15"/>
        <item x="27"/>
        <item x="34"/>
        <item x="35"/>
        <item x="33"/>
        <item x="21"/>
        <item x="30"/>
        <item x="46"/>
        <item x="25"/>
        <item x="51"/>
        <item x="48"/>
        <item x="40"/>
        <item x="18"/>
        <item x="31"/>
        <item x="8"/>
        <item x="42"/>
        <item x="49"/>
        <item x="12"/>
        <item x="23"/>
        <item x="39"/>
        <item x="11"/>
        <item x="44"/>
        <item x="22"/>
        <item x="29"/>
        <item x="45"/>
        <item x="13"/>
        <item x="37"/>
        <item x="28"/>
        <item x="20"/>
        <item x="0"/>
        <item x="1"/>
        <item x="47"/>
        <item x="50"/>
        <item t="default"/>
      </items>
    </pivotField>
    <pivotField showAll="0"/>
    <pivotField showAll="0"/>
    <pivotField showAll="0"/>
    <pivotField axis="axisRow" dataField="1" showAll="0">
      <items count="31">
        <item x="1"/>
        <item x="6"/>
        <item x="5"/>
        <item x="4"/>
        <item x="10"/>
        <item x="13"/>
        <item x="20"/>
        <item x="3"/>
        <item x="19"/>
        <item x="8"/>
        <item x="11"/>
        <item x="15"/>
        <item x="28"/>
        <item x="21"/>
        <item x="12"/>
        <item x="29"/>
        <item x="17"/>
        <item x="22"/>
        <item x="24"/>
        <item x="16"/>
        <item x="2"/>
        <item x="23"/>
        <item x="7"/>
        <item x="18"/>
        <item x="14"/>
        <item x="9"/>
        <item x="25"/>
        <item x="27"/>
        <item x="26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dataField="1" showAll="0">
      <items count="32">
        <item x="2"/>
        <item x="0"/>
        <item x="4"/>
        <item x="20"/>
        <item x="12"/>
        <item x="7"/>
        <item x="26"/>
        <item x="1"/>
        <item x="23"/>
        <item x="5"/>
        <item x="24"/>
        <item x="9"/>
        <item x="10"/>
        <item x="15"/>
        <item x="14"/>
        <item x="29"/>
        <item x="30"/>
        <item x="19"/>
        <item x="6"/>
        <item x="27"/>
        <item x="28"/>
        <item x="3"/>
        <item x="21"/>
        <item x="25"/>
        <item x="13"/>
        <item x="22"/>
        <item x="18"/>
        <item x="16"/>
        <item x="11"/>
        <item x="17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6">
    <field x="197"/>
    <field x="208"/>
    <field x="201"/>
    <field x="212"/>
    <field x="227"/>
    <field x="-2"/>
  </rowFields>
  <rowItems count="2051">
    <i>
      <x/>
    </i>
    <i r="1">
      <x v="33"/>
    </i>
    <i r="2">
      <x v="11"/>
    </i>
    <i r="3">
      <x v="3"/>
    </i>
    <i r="4">
      <x v="21"/>
    </i>
    <i r="5">
      <x/>
    </i>
    <i r="5" i="1">
      <x v="1"/>
    </i>
    <i r="5" i="2">
      <x v="2"/>
    </i>
    <i r="5" i="3">
      <x v="3"/>
    </i>
    <i r="5" i="4">
      <x v="4"/>
    </i>
    <i t="default" r="3">
      <x v="3"/>
    </i>
    <i t="default" r="3" i="1">
      <x v="3"/>
    </i>
    <i t="default" r="3" i="2">
      <x v="3"/>
    </i>
    <i t="default" r="3" i="3">
      <x v="3"/>
    </i>
    <i t="default" r="3" i="4">
      <x v="3"/>
    </i>
    <i t="default" r="2">
      <x v="11"/>
    </i>
    <i t="default" r="2" i="1">
      <x v="11"/>
    </i>
    <i t="default" r="2" i="2">
      <x v="11"/>
    </i>
    <i t="default" r="2" i="3">
      <x v="11"/>
    </i>
    <i t="default" r="2" i="4">
      <x v="11"/>
    </i>
    <i t="default" r="1">
      <x v="33"/>
    </i>
    <i t="default" r="1" i="1">
      <x v="33"/>
    </i>
    <i t="default" r="1" i="2">
      <x v="33"/>
    </i>
    <i t="default" r="1" i="3">
      <x v="33"/>
    </i>
    <i t="default" r="1" i="4">
      <x v="33"/>
    </i>
    <i r="1">
      <x v="48"/>
    </i>
    <i r="2">
      <x v="35"/>
    </i>
    <i r="3">
      <x v="29"/>
    </i>
    <i r="4">
      <x v="1"/>
    </i>
    <i r="5">
      <x/>
    </i>
    <i r="5" i="1">
      <x v="1"/>
    </i>
    <i r="5" i="2">
      <x v="2"/>
    </i>
    <i r="5" i="3">
      <x v="3"/>
    </i>
    <i r="5" i="4">
      <x v="4"/>
    </i>
    <i t="default" r="3">
      <x v="29"/>
    </i>
    <i t="default" r="3" i="1">
      <x v="29"/>
    </i>
    <i t="default" r="3" i="2">
      <x v="29"/>
    </i>
    <i t="default" r="3" i="3">
      <x v="29"/>
    </i>
    <i t="default" r="3" i="4">
      <x v="29"/>
    </i>
    <i t="default" r="2">
      <x v="35"/>
    </i>
    <i t="default" r="2" i="1">
      <x v="35"/>
    </i>
    <i t="default" r="2" i="2">
      <x v="35"/>
    </i>
    <i t="default" r="2" i="3">
      <x v="35"/>
    </i>
    <i t="default" r="2" i="4">
      <x v="35"/>
    </i>
    <i t="default" r="1">
      <x v="48"/>
    </i>
    <i t="default" r="1" i="1">
      <x v="48"/>
    </i>
    <i t="default" r="1" i="2">
      <x v="48"/>
    </i>
    <i t="default" r="1" i="3">
      <x v="48"/>
    </i>
    <i t="default" r="1" i="4">
      <x v="48"/>
    </i>
    <i r="1">
      <x v="49"/>
    </i>
    <i r="2">
      <x v="37"/>
    </i>
    <i r="3">
      <x v="29"/>
    </i>
    <i r="4">
      <x v="7"/>
    </i>
    <i r="5">
      <x/>
    </i>
    <i r="5" i="1">
      <x v="1"/>
    </i>
    <i r="5" i="2">
      <x v="2"/>
    </i>
    <i r="5" i="3">
      <x v="3"/>
    </i>
    <i r="5" i="4">
      <x v="4"/>
    </i>
    <i t="default" r="3">
      <x v="29"/>
    </i>
    <i t="default" r="3" i="1">
      <x v="29"/>
    </i>
    <i t="default" r="3" i="2">
      <x v="29"/>
    </i>
    <i t="default" r="3" i="3">
      <x v="29"/>
    </i>
    <i t="default" r="3" i="4">
      <x v="29"/>
    </i>
    <i t="default" r="2">
      <x v="37"/>
    </i>
    <i t="default" r="2" i="1">
      <x v="37"/>
    </i>
    <i t="default" r="2" i="2">
      <x v="37"/>
    </i>
    <i t="default" r="2" i="3">
      <x v="37"/>
    </i>
    <i t="default" r="2" i="4">
      <x v="37"/>
    </i>
    <i t="default" r="1">
      <x v="49"/>
    </i>
    <i t="default" r="1" i="1">
      <x v="49"/>
    </i>
    <i t="default" r="1" i="2">
      <x v="49"/>
    </i>
    <i t="default" r="1" i="3">
      <x v="49"/>
    </i>
    <i t="default" r="1" i="4">
      <x v="49"/>
    </i>
    <i t="default">
      <x/>
    </i>
    <i t="default" i="1">
      <x/>
    </i>
    <i t="default" i="2">
      <x/>
    </i>
    <i t="default" i="3">
      <x/>
    </i>
    <i t="default" i="4">
      <x/>
    </i>
    <i>
      <x v="1"/>
    </i>
    <i r="1">
      <x v="4"/>
    </i>
    <i r="2">
      <x v="1"/>
    </i>
    <i r="3">
      <x v="7"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 v="7"/>
    </i>
    <i t="default" r="3" i="1">
      <x v="7"/>
    </i>
    <i t="default" r="3" i="2">
      <x v="7"/>
    </i>
    <i t="default" r="3" i="3">
      <x v="7"/>
    </i>
    <i t="default" r="3" i="4">
      <x v="7"/>
    </i>
    <i t="default" r="2">
      <x v="1"/>
    </i>
    <i t="default" r="2" i="1">
      <x v="1"/>
    </i>
    <i t="default" r="2" i="2">
      <x v="1"/>
    </i>
    <i t="default" r="2" i="3">
      <x v="1"/>
    </i>
    <i t="default" r="2" i="4">
      <x v="1"/>
    </i>
    <i t="default" r="1">
      <x v="4"/>
    </i>
    <i t="default" r="1" i="1">
      <x v="4"/>
    </i>
    <i t="default" r="1" i="2">
      <x v="4"/>
    </i>
    <i t="default" r="1" i="3">
      <x v="4"/>
    </i>
    <i t="default" r="1" i="4">
      <x v="4"/>
    </i>
    <i t="default">
      <x v="1"/>
    </i>
    <i t="default" i="1">
      <x v="1"/>
    </i>
    <i t="default" i="2">
      <x v="1"/>
    </i>
    <i t="default" i="3">
      <x v="1"/>
    </i>
    <i t="default" i="4">
      <x v="1"/>
    </i>
    <i>
      <x v="2"/>
    </i>
    <i r="1">
      <x v="6"/>
    </i>
    <i r="2">
      <x v="3"/>
    </i>
    <i r="3">
      <x/>
    </i>
    <i r="4">
      <x v="4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3"/>
    </i>
    <i t="default" r="2" i="1">
      <x v="3"/>
    </i>
    <i t="default" r="2" i="2">
      <x v="3"/>
    </i>
    <i t="default" r="2" i="3">
      <x v="3"/>
    </i>
    <i t="default" r="2" i="4">
      <x v="3"/>
    </i>
    <i t="default" r="1">
      <x v="6"/>
    </i>
    <i t="default" r="1" i="1">
      <x v="6"/>
    </i>
    <i t="default" r="1" i="2">
      <x v="6"/>
    </i>
    <i t="default" r="1" i="3">
      <x v="6"/>
    </i>
    <i t="default" r="1" i="4">
      <x v="6"/>
    </i>
    <i t="default">
      <x v="2"/>
    </i>
    <i t="default" i="1">
      <x v="2"/>
    </i>
    <i t="default" i="2">
      <x v="2"/>
    </i>
    <i t="default" i="3">
      <x v="2"/>
    </i>
    <i t="default" i="4">
      <x v="2"/>
    </i>
    <i>
      <x v="3"/>
    </i>
    <i r="1">
      <x v="3"/>
    </i>
    <i r="2">
      <x v="2"/>
    </i>
    <i r="3">
      <x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2"/>
    </i>
    <i t="default" r="2" i="1">
      <x v="2"/>
    </i>
    <i t="default" r="2" i="2">
      <x v="2"/>
    </i>
    <i t="default" r="2" i="3">
      <x v="2"/>
    </i>
    <i t="default" r="2" i="4">
      <x v="2"/>
    </i>
    <i t="default" r="1">
      <x v="3"/>
    </i>
    <i t="default" r="1" i="1">
      <x v="3"/>
    </i>
    <i t="default" r="1" i="2">
      <x v="3"/>
    </i>
    <i t="default" r="1" i="3">
      <x v="3"/>
    </i>
    <i t="default" r="1" i="4">
      <x v="3"/>
    </i>
    <i t="default">
      <x v="3"/>
    </i>
    <i t="default" i="1">
      <x v="3"/>
    </i>
    <i t="default" i="2">
      <x v="3"/>
    </i>
    <i t="default" i="3">
      <x v="3"/>
    </i>
    <i t="default" i="4">
      <x v="3"/>
    </i>
    <i>
      <x v="4"/>
    </i>
    <i r="1">
      <x v="8"/>
    </i>
    <i r="2">
      <x v="5"/>
    </i>
    <i r="3">
      <x/>
    </i>
    <i r="4">
      <x v="17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5"/>
    </i>
    <i t="default" r="2" i="1">
      <x v="5"/>
    </i>
    <i t="default" r="2" i="2">
      <x v="5"/>
    </i>
    <i t="default" r="2" i="3">
      <x v="5"/>
    </i>
    <i t="default" r="2" i="4">
      <x v="5"/>
    </i>
    <i t="default" r="1">
      <x v="8"/>
    </i>
    <i t="default" r="1" i="1">
      <x v="8"/>
    </i>
    <i t="default" r="1" i="2">
      <x v="8"/>
    </i>
    <i t="default" r="1" i="3">
      <x v="8"/>
    </i>
    <i t="default" r="1" i="4">
      <x v="8"/>
    </i>
    <i t="default">
      <x v="4"/>
    </i>
    <i t="default" i="1">
      <x v="4"/>
    </i>
    <i t="default" i="2">
      <x v="4"/>
    </i>
    <i t="default" i="3">
      <x v="4"/>
    </i>
    <i t="default" i="4">
      <x v="4"/>
    </i>
    <i>
      <x v="5"/>
    </i>
    <i r="1">
      <x v="11"/>
    </i>
    <i r="2">
      <x v="4"/>
    </i>
    <i r="3">
      <x v="11"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 v="11"/>
    </i>
    <i t="default" r="3" i="1">
      <x v="11"/>
    </i>
    <i t="default" r="3" i="2">
      <x v="11"/>
    </i>
    <i t="default" r="3" i="3">
      <x v="11"/>
    </i>
    <i t="default" r="3" i="4">
      <x v="11"/>
    </i>
    <i t="default" r="2">
      <x v="4"/>
    </i>
    <i t="default" r="2" i="1">
      <x v="4"/>
    </i>
    <i t="default" r="2" i="2">
      <x v="4"/>
    </i>
    <i t="default" r="2" i="3">
      <x v="4"/>
    </i>
    <i t="default" r="2" i="4">
      <x v="4"/>
    </i>
    <i t="default" r="1">
      <x v="11"/>
    </i>
    <i t="default" r="1" i="1">
      <x v="11"/>
    </i>
    <i t="default" r="1" i="2">
      <x v="11"/>
    </i>
    <i t="default" r="1" i="3">
      <x v="11"/>
    </i>
    <i t="default" r="1" i="4">
      <x v="11"/>
    </i>
    <i t="default">
      <x v="5"/>
    </i>
    <i t="default" i="1">
      <x v="5"/>
    </i>
    <i t="default" i="2">
      <x v="5"/>
    </i>
    <i t="default" i="3">
      <x v="5"/>
    </i>
    <i t="default" i="4">
      <x v="5"/>
    </i>
    <i>
      <x v="6"/>
    </i>
    <i r="1">
      <x v="5"/>
    </i>
    <i r="2">
      <x v="7"/>
    </i>
    <i r="3">
      <x/>
    </i>
    <i r="4">
      <x v="14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7"/>
    </i>
    <i t="default" r="2" i="1">
      <x v="7"/>
    </i>
    <i t="default" r="2" i="2">
      <x v="7"/>
    </i>
    <i t="default" r="2" i="3">
      <x v="7"/>
    </i>
    <i t="default" r="2" i="4">
      <x v="7"/>
    </i>
    <i t="default" r="1">
      <x v="5"/>
    </i>
    <i t="default" r="1" i="1">
      <x v="5"/>
    </i>
    <i t="default" r="1" i="2">
      <x v="5"/>
    </i>
    <i t="default" r="1" i="3">
      <x v="5"/>
    </i>
    <i t="default" r="1" i="4">
      <x v="5"/>
    </i>
    <i t="default">
      <x v="6"/>
    </i>
    <i t="default" i="1">
      <x v="6"/>
    </i>
    <i t="default" i="2">
      <x v="6"/>
    </i>
    <i t="default" i="3">
      <x v="6"/>
    </i>
    <i t="default" i="4">
      <x v="6"/>
    </i>
    <i>
      <x v="7"/>
    </i>
    <i r="1">
      <x/>
    </i>
    <i r="2">
      <x v="8"/>
    </i>
    <i r="3">
      <x/>
    </i>
    <i r="4">
      <x v="8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8"/>
    </i>
    <i t="default" r="2" i="1">
      <x v="8"/>
    </i>
    <i t="default" r="2" i="2">
      <x v="8"/>
    </i>
    <i t="default" r="2" i="3">
      <x v="8"/>
    </i>
    <i t="default" r="2" i="4">
      <x v="8"/>
    </i>
    <i t="default" r="1">
      <x/>
    </i>
    <i t="default" r="1" i="1">
      <x/>
    </i>
    <i t="default" r="1" i="2">
      <x/>
    </i>
    <i t="default" r="1" i="3">
      <x/>
    </i>
    <i t="default" r="1" i="4">
      <x/>
    </i>
    <i t="default">
      <x v="7"/>
    </i>
    <i t="default" i="1">
      <x v="7"/>
    </i>
    <i t="default" i="2">
      <x v="7"/>
    </i>
    <i t="default" i="3">
      <x v="7"/>
    </i>
    <i t="default" i="4">
      <x v="7"/>
    </i>
    <i>
      <x v="8"/>
    </i>
    <i r="1">
      <x v="27"/>
    </i>
    <i r="2">
      <x v="10"/>
    </i>
    <i r="3">
      <x/>
    </i>
    <i r="4">
      <x v="3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10"/>
    </i>
    <i t="default" r="2" i="1">
      <x v="10"/>
    </i>
    <i t="default" r="2" i="2">
      <x v="10"/>
    </i>
    <i t="default" r="2" i="3">
      <x v="10"/>
    </i>
    <i t="default" r="2" i="4">
      <x v="10"/>
    </i>
    <i t="default" r="1">
      <x v="27"/>
    </i>
    <i t="default" r="1" i="1">
      <x v="27"/>
    </i>
    <i t="default" r="1" i="2">
      <x v="27"/>
    </i>
    <i t="default" r="1" i="3">
      <x v="27"/>
    </i>
    <i t="default" r="1" i="4">
      <x v="27"/>
    </i>
    <i t="default">
      <x v="8"/>
    </i>
    <i t="default" i="1">
      <x v="8"/>
    </i>
    <i t="default" i="2">
      <x v="8"/>
    </i>
    <i t="default" i="3">
      <x v="8"/>
    </i>
    <i t="default" i="4">
      <x v="8"/>
    </i>
    <i>
      <x v="9"/>
    </i>
    <i r="1">
      <x v="1"/>
    </i>
    <i r="2">
      <x v="6"/>
    </i>
    <i r="3">
      <x v="1"/>
    </i>
    <i r="4">
      <x v="9"/>
    </i>
    <i r="5">
      <x/>
    </i>
    <i r="5" i="1">
      <x v="1"/>
    </i>
    <i r="5" i="2">
      <x v="2"/>
    </i>
    <i r="5" i="3">
      <x v="3"/>
    </i>
    <i r="5" i="4">
      <x v="4"/>
    </i>
    <i t="default" r="3">
      <x v="1"/>
    </i>
    <i t="default" r="3" i="1">
      <x v="1"/>
    </i>
    <i t="default" r="3" i="2">
      <x v="1"/>
    </i>
    <i t="default" r="3" i="3">
      <x v="1"/>
    </i>
    <i t="default" r="3" i="4">
      <x v="1"/>
    </i>
    <i t="default" r="2">
      <x v="6"/>
    </i>
    <i t="default" r="2" i="1">
      <x v="6"/>
    </i>
    <i t="default" r="2" i="2">
      <x v="6"/>
    </i>
    <i t="default" r="2" i="3">
      <x v="6"/>
    </i>
    <i t="default" r="2" i="4">
      <x v="6"/>
    </i>
    <i t="default" r="1">
      <x v="1"/>
    </i>
    <i t="default" r="1" i="1">
      <x v="1"/>
    </i>
    <i t="default" r="1" i="2">
      <x v="1"/>
    </i>
    <i t="default" r="1" i="3">
      <x v="1"/>
    </i>
    <i t="default" r="1" i="4">
      <x v="1"/>
    </i>
    <i t="default">
      <x v="9"/>
    </i>
    <i t="default" i="1">
      <x v="9"/>
    </i>
    <i t="default" i="2">
      <x v="9"/>
    </i>
    <i t="default" i="3">
      <x v="9"/>
    </i>
    <i t="default" i="4">
      <x v="9"/>
    </i>
    <i>
      <x v="10"/>
    </i>
    <i r="1">
      <x v="24"/>
    </i>
    <i r="2">
      <x v="15"/>
    </i>
    <i r="3">
      <x/>
    </i>
    <i r="4">
      <x v="27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15"/>
    </i>
    <i t="default" r="2" i="1">
      <x v="15"/>
    </i>
    <i t="default" r="2" i="2">
      <x v="15"/>
    </i>
    <i t="default" r="2" i="3">
      <x v="15"/>
    </i>
    <i t="default" r="2" i="4">
      <x v="15"/>
    </i>
    <i t="default" r="1">
      <x v="24"/>
    </i>
    <i t="default" r="1" i="1">
      <x v="24"/>
    </i>
    <i t="default" r="1" i="2">
      <x v="24"/>
    </i>
    <i t="default" r="1" i="3">
      <x v="24"/>
    </i>
    <i t="default" r="1" i="4">
      <x v="24"/>
    </i>
    <i t="default">
      <x v="10"/>
    </i>
    <i t="default" i="1">
      <x v="10"/>
    </i>
    <i t="default" i="2">
      <x v="10"/>
    </i>
    <i t="default" i="3">
      <x v="10"/>
    </i>
    <i t="default" i="4">
      <x v="10"/>
    </i>
    <i>
      <x v="11"/>
    </i>
    <i r="1">
      <x v="2"/>
    </i>
    <i r="2">
      <x v="9"/>
    </i>
    <i r="3">
      <x/>
    </i>
    <i r="4">
      <x v="11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9"/>
    </i>
    <i t="default" r="2" i="1">
      <x v="9"/>
    </i>
    <i t="default" r="2" i="2">
      <x v="9"/>
    </i>
    <i t="default" r="2" i="3">
      <x v="9"/>
    </i>
    <i t="default" r="2" i="4">
      <x v="9"/>
    </i>
    <i t="default" r="1">
      <x v="2"/>
    </i>
    <i t="default" r="1" i="1">
      <x v="2"/>
    </i>
    <i t="default" r="1" i="2">
      <x v="2"/>
    </i>
    <i t="default" r="1" i="3">
      <x v="2"/>
    </i>
    <i t="default" r="1" i="4">
      <x v="2"/>
    </i>
    <i t="default">
      <x v="11"/>
    </i>
    <i t="default" i="1">
      <x v="11"/>
    </i>
    <i t="default" i="2">
      <x v="11"/>
    </i>
    <i t="default" i="3">
      <x v="11"/>
    </i>
    <i t="default" i="4">
      <x v="11"/>
    </i>
    <i>
      <x v="12"/>
    </i>
    <i r="1">
      <x v="10"/>
    </i>
    <i r="2">
      <x v="14"/>
    </i>
    <i r="3">
      <x/>
    </i>
    <i r="4">
      <x v="28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14"/>
    </i>
    <i t="default" r="2" i="1">
      <x v="14"/>
    </i>
    <i t="default" r="2" i="2">
      <x v="14"/>
    </i>
    <i t="default" r="2" i="3">
      <x v="14"/>
    </i>
    <i t="default" r="2" i="4">
      <x v="14"/>
    </i>
    <i t="default" r="1">
      <x v="10"/>
    </i>
    <i t="default" r="1" i="1">
      <x v="10"/>
    </i>
    <i t="default" r="1" i="2">
      <x v="10"/>
    </i>
    <i t="default" r="1" i="3">
      <x v="10"/>
    </i>
    <i t="default" r="1" i="4">
      <x v="10"/>
    </i>
    <i t="default">
      <x v="12"/>
    </i>
    <i t="default" i="1">
      <x v="12"/>
    </i>
    <i t="default" i="2">
      <x v="12"/>
    </i>
    <i t="default" i="3">
      <x v="12"/>
    </i>
    <i t="default" i="4">
      <x v="12"/>
    </i>
    <i>
      <x v="13"/>
    </i>
    <i r="1">
      <x v="23"/>
    </i>
    <i r="2">
      <x v="13"/>
    </i>
    <i r="3">
      <x v="10"/>
    </i>
    <i r="4">
      <x v="6"/>
    </i>
    <i r="5">
      <x/>
    </i>
    <i r="5" i="1">
      <x v="1"/>
    </i>
    <i r="5" i="2">
      <x v="2"/>
    </i>
    <i r="5" i="3">
      <x v="3"/>
    </i>
    <i r="5" i="4">
      <x v="4"/>
    </i>
    <i t="default" r="3">
      <x v="10"/>
    </i>
    <i t="default" r="3" i="1">
      <x v="10"/>
    </i>
    <i t="default" r="3" i="2">
      <x v="10"/>
    </i>
    <i t="default" r="3" i="3">
      <x v="10"/>
    </i>
    <i t="default" r="3" i="4">
      <x v="10"/>
    </i>
    <i t="default" r="2">
      <x v="13"/>
    </i>
    <i t="default" r="2" i="1">
      <x v="13"/>
    </i>
    <i t="default" r="2" i="2">
      <x v="13"/>
    </i>
    <i t="default" r="2" i="3">
      <x v="13"/>
    </i>
    <i t="default" r="2" i="4">
      <x v="13"/>
    </i>
    <i t="default" r="1">
      <x v="23"/>
    </i>
    <i t="default" r="1" i="1">
      <x v="23"/>
    </i>
    <i t="default" r="1" i="2">
      <x v="23"/>
    </i>
    <i t="default" r="1" i="3">
      <x v="23"/>
    </i>
    <i t="default" r="1" i="4">
      <x v="23"/>
    </i>
    <i t="default">
      <x v="13"/>
    </i>
    <i t="default" i="1">
      <x v="13"/>
    </i>
    <i t="default" i="2">
      <x v="13"/>
    </i>
    <i t="default" i="3">
      <x v="13"/>
    </i>
    <i t="default" i="4">
      <x v="13"/>
    </i>
    <i>
      <x v="14"/>
    </i>
    <i r="1">
      <x v="21"/>
    </i>
    <i r="2">
      <x v="17"/>
    </i>
    <i r="3">
      <x v="14"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 v="14"/>
    </i>
    <i t="default" r="3" i="1">
      <x v="14"/>
    </i>
    <i t="default" r="3" i="2">
      <x v="14"/>
    </i>
    <i t="default" r="3" i="3">
      <x v="14"/>
    </i>
    <i t="default" r="3" i="4">
      <x v="14"/>
    </i>
    <i t="default" r="2">
      <x v="17"/>
    </i>
    <i t="default" r="2" i="1">
      <x v="17"/>
    </i>
    <i t="default" r="2" i="2">
      <x v="17"/>
    </i>
    <i t="default" r="2" i="3">
      <x v="17"/>
    </i>
    <i t="default" r="2" i="4">
      <x v="17"/>
    </i>
    <i t="default" r="1">
      <x v="21"/>
    </i>
    <i t="default" r="1" i="1">
      <x v="21"/>
    </i>
    <i t="default" r="1" i="2">
      <x v="21"/>
    </i>
    <i t="default" r="1" i="3">
      <x v="21"/>
    </i>
    <i t="default" r="1" i="4">
      <x v="21"/>
    </i>
    <i t="default">
      <x v="14"/>
    </i>
    <i t="default" i="1">
      <x v="14"/>
    </i>
    <i t="default" i="2">
      <x v="14"/>
    </i>
    <i t="default" i="3">
      <x v="14"/>
    </i>
    <i t="default" i="4">
      <x v="14"/>
    </i>
    <i>
      <x v="15"/>
    </i>
    <i r="1">
      <x v="20"/>
    </i>
    <i r="2">
      <x v="12"/>
    </i>
    <i r="3">
      <x/>
    </i>
    <i r="4">
      <x v="25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12"/>
    </i>
    <i t="default" r="2" i="1">
      <x v="12"/>
    </i>
    <i t="default" r="2" i="2">
      <x v="12"/>
    </i>
    <i t="default" r="2" i="3">
      <x v="12"/>
    </i>
    <i t="default" r="2" i="4">
      <x v="12"/>
    </i>
    <i t="default" r="1">
      <x v="20"/>
    </i>
    <i t="default" r="1" i="1">
      <x v="20"/>
    </i>
    <i t="default" r="1" i="2">
      <x v="20"/>
    </i>
    <i t="default" r="1" i="3">
      <x v="20"/>
    </i>
    <i t="default" r="1" i="4">
      <x v="20"/>
    </i>
    <i t="default">
      <x v="15"/>
    </i>
    <i t="default" i="1">
      <x v="15"/>
    </i>
    <i t="default" i="2">
      <x v="15"/>
    </i>
    <i t="default" i="3">
      <x v="15"/>
    </i>
    <i t="default" i="4">
      <x v="15"/>
    </i>
    <i>
      <x v="16"/>
    </i>
    <i r="1">
      <x v="18"/>
    </i>
    <i r="2">
      <x v="16"/>
    </i>
    <i r="3">
      <x v="20"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 v="20"/>
    </i>
    <i t="default" r="3" i="1">
      <x v="20"/>
    </i>
    <i t="default" r="3" i="2">
      <x v="20"/>
    </i>
    <i t="default" r="3" i="3">
      <x v="20"/>
    </i>
    <i t="default" r="3" i="4">
      <x v="20"/>
    </i>
    <i t="default" r="2">
      <x v="16"/>
    </i>
    <i t="default" r="2" i="1">
      <x v="16"/>
    </i>
    <i t="default" r="2" i="2">
      <x v="16"/>
    </i>
    <i t="default" r="2" i="3">
      <x v="16"/>
    </i>
    <i t="default" r="2" i="4">
      <x v="16"/>
    </i>
    <i t="default" r="1">
      <x v="18"/>
    </i>
    <i t="default" r="1" i="1">
      <x v="18"/>
    </i>
    <i t="default" r="1" i="2">
      <x v="18"/>
    </i>
    <i t="default" r="1" i="3">
      <x v="18"/>
    </i>
    <i t="default" r="1" i="4">
      <x v="18"/>
    </i>
    <i t="default">
      <x v="16"/>
    </i>
    <i t="default" i="1">
      <x v="16"/>
    </i>
    <i t="default" i="2">
      <x v="16"/>
    </i>
    <i t="default" i="3">
      <x v="16"/>
    </i>
    <i t="default" i="4">
      <x v="16"/>
    </i>
    <i>
      <x v="17"/>
    </i>
    <i r="1">
      <x v="15"/>
    </i>
    <i r="2">
      <x v="18"/>
    </i>
    <i r="3">
      <x v="4"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 v="4"/>
    </i>
    <i t="default" r="3" i="1">
      <x v="4"/>
    </i>
    <i t="default" r="3" i="2">
      <x v="4"/>
    </i>
    <i t="default" r="3" i="3">
      <x v="4"/>
    </i>
    <i t="default" r="3" i="4">
      <x v="4"/>
    </i>
    <i t="default" r="2">
      <x v="18"/>
    </i>
    <i t="default" r="2" i="1">
      <x v="18"/>
    </i>
    <i t="default" r="2" i="2">
      <x v="18"/>
    </i>
    <i t="default" r="2" i="3">
      <x v="18"/>
    </i>
    <i t="default" r="2" i="4">
      <x v="18"/>
    </i>
    <i t="default" r="1">
      <x v="15"/>
    </i>
    <i t="default" r="1" i="1">
      <x v="15"/>
    </i>
    <i t="default" r="1" i="2">
      <x v="15"/>
    </i>
    <i t="default" r="1" i="3">
      <x v="15"/>
    </i>
    <i t="default" r="1" i="4">
      <x v="15"/>
    </i>
    <i t="default">
      <x v="17"/>
    </i>
    <i t="default" i="1">
      <x v="17"/>
    </i>
    <i t="default" i="2">
      <x v="17"/>
    </i>
    <i t="default" i="3">
      <x v="17"/>
    </i>
    <i t="default" i="4">
      <x v="17"/>
    </i>
    <i>
      <x v="18"/>
    </i>
    <i r="1">
      <x v="17"/>
    </i>
    <i r="2">
      <x v="20"/>
    </i>
    <i r="3">
      <x v="5"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 v="5"/>
    </i>
    <i t="default" r="3" i="1">
      <x v="5"/>
    </i>
    <i t="default" r="3" i="2">
      <x v="5"/>
    </i>
    <i t="default" r="3" i="3">
      <x v="5"/>
    </i>
    <i t="default" r="3" i="4">
      <x v="5"/>
    </i>
    <i t="default" r="2">
      <x v="20"/>
    </i>
    <i t="default" r="2" i="1">
      <x v="20"/>
    </i>
    <i t="default" r="2" i="2">
      <x v="20"/>
    </i>
    <i t="default" r="2" i="3">
      <x v="20"/>
    </i>
    <i t="default" r="2" i="4">
      <x v="20"/>
    </i>
    <i t="default" r="1">
      <x v="17"/>
    </i>
    <i t="default" r="1" i="1">
      <x v="17"/>
    </i>
    <i t="default" r="1" i="2">
      <x v="17"/>
    </i>
    <i t="default" r="1" i="3">
      <x v="17"/>
    </i>
    <i t="default" r="1" i="4">
      <x v="17"/>
    </i>
    <i t="default">
      <x v="18"/>
    </i>
    <i t="default" i="1">
      <x v="18"/>
    </i>
    <i t="default" i="2">
      <x v="18"/>
    </i>
    <i t="default" i="3">
      <x v="18"/>
    </i>
    <i t="default" i="4">
      <x v="18"/>
    </i>
    <i>
      <x v="19"/>
    </i>
    <i r="1">
      <x v="30"/>
    </i>
    <i r="2">
      <x v="21"/>
    </i>
    <i r="3">
      <x v="29"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 v="29"/>
    </i>
    <i t="default" r="3" i="1">
      <x v="29"/>
    </i>
    <i t="default" r="3" i="2">
      <x v="29"/>
    </i>
    <i t="default" r="3" i="3">
      <x v="29"/>
    </i>
    <i t="default" r="3" i="4">
      <x v="29"/>
    </i>
    <i t="default" r="2">
      <x v="21"/>
    </i>
    <i t="default" r="2" i="1">
      <x v="21"/>
    </i>
    <i t="default" r="2" i="2">
      <x v="21"/>
    </i>
    <i t="default" r="2" i="3">
      <x v="21"/>
    </i>
    <i t="default" r="2" i="4">
      <x v="21"/>
    </i>
    <i t="default" r="1">
      <x v="30"/>
    </i>
    <i t="default" r="1" i="1">
      <x v="30"/>
    </i>
    <i t="default" r="1" i="2">
      <x v="30"/>
    </i>
    <i t="default" r="1" i="3">
      <x v="30"/>
    </i>
    <i t="default" r="1" i="4">
      <x v="30"/>
    </i>
    <i t="default">
      <x v="19"/>
    </i>
    <i t="default" i="1">
      <x v="19"/>
    </i>
    <i t="default" i="2">
      <x v="19"/>
    </i>
    <i t="default" i="3">
      <x v="19"/>
    </i>
    <i t="default" i="4">
      <x v="19"/>
    </i>
    <i>
      <x v="20"/>
    </i>
    <i r="1">
      <x v="31"/>
    </i>
    <i r="2">
      <x v="24"/>
    </i>
    <i r="3">
      <x/>
    </i>
    <i r="4">
      <x v="24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24"/>
    </i>
    <i t="default" r="2" i="1">
      <x v="24"/>
    </i>
    <i t="default" r="2" i="2">
      <x v="24"/>
    </i>
    <i t="default" r="2" i="3">
      <x v="24"/>
    </i>
    <i t="default" r="2" i="4">
      <x v="24"/>
    </i>
    <i t="default" r="1">
      <x v="31"/>
    </i>
    <i t="default" r="1" i="1">
      <x v="31"/>
    </i>
    <i t="default" r="1" i="2">
      <x v="31"/>
    </i>
    <i t="default" r="1" i="3">
      <x v="31"/>
    </i>
    <i t="default" r="1" i="4">
      <x v="31"/>
    </i>
    <i t="default">
      <x v="20"/>
    </i>
    <i t="default" i="1">
      <x v="20"/>
    </i>
    <i t="default" i="2">
      <x v="20"/>
    </i>
    <i t="default" i="3">
      <x v="20"/>
    </i>
    <i t="default" i="4">
      <x v="20"/>
    </i>
    <i>
      <x v="21"/>
    </i>
    <i r="1">
      <x v="17"/>
    </i>
    <i r="2">
      <x v="28"/>
    </i>
    <i r="3">
      <x v="19"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 v="19"/>
    </i>
    <i t="default" r="3" i="1">
      <x v="19"/>
    </i>
    <i t="default" r="3" i="2">
      <x v="19"/>
    </i>
    <i t="default" r="3" i="3">
      <x v="19"/>
    </i>
    <i t="default" r="3" i="4">
      <x v="19"/>
    </i>
    <i t="default" r="2">
      <x v="28"/>
    </i>
    <i t="default" r="2" i="1">
      <x v="28"/>
    </i>
    <i t="default" r="2" i="2">
      <x v="28"/>
    </i>
    <i t="default" r="2" i="3">
      <x v="28"/>
    </i>
    <i t="default" r="2" i="4">
      <x v="28"/>
    </i>
    <i t="default" r="1">
      <x v="17"/>
    </i>
    <i t="default" r="1" i="1">
      <x v="17"/>
    </i>
    <i t="default" r="1" i="2">
      <x v="17"/>
    </i>
    <i t="default" r="1" i="3">
      <x v="17"/>
    </i>
    <i t="default" r="1" i="4">
      <x v="17"/>
    </i>
    <i t="default">
      <x v="21"/>
    </i>
    <i t="default" i="1">
      <x v="21"/>
    </i>
    <i t="default" i="2">
      <x v="21"/>
    </i>
    <i t="default" i="3">
      <x v="21"/>
    </i>
    <i t="default" i="4">
      <x v="21"/>
    </i>
    <i>
      <x v="22"/>
    </i>
    <i r="1">
      <x v="17"/>
    </i>
    <i r="2">
      <x v="29"/>
    </i>
    <i r="3">
      <x/>
    </i>
    <i r="4">
      <x v="22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29"/>
    </i>
    <i t="default" r="2" i="1">
      <x v="29"/>
    </i>
    <i t="default" r="2" i="2">
      <x v="29"/>
    </i>
    <i t="default" r="2" i="3">
      <x v="29"/>
    </i>
    <i t="default" r="2" i="4">
      <x v="29"/>
    </i>
    <i t="default" r="1">
      <x v="17"/>
    </i>
    <i t="default" r="1" i="1">
      <x v="17"/>
    </i>
    <i t="default" r="1" i="2">
      <x v="17"/>
    </i>
    <i t="default" r="1" i="3">
      <x v="17"/>
    </i>
    <i t="default" r="1" i="4">
      <x v="17"/>
    </i>
    <i t="default">
      <x v="22"/>
    </i>
    <i t="default" i="1">
      <x v="22"/>
    </i>
    <i t="default" i="2">
      <x v="22"/>
    </i>
    <i t="default" i="3">
      <x v="22"/>
    </i>
    <i t="default" i="4">
      <x v="22"/>
    </i>
    <i>
      <x v="23"/>
    </i>
    <i r="1">
      <x v="16"/>
    </i>
    <i r="2">
      <x v="34"/>
    </i>
    <i r="3">
      <x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34"/>
    </i>
    <i t="default" r="2" i="1">
      <x v="34"/>
    </i>
    <i t="default" r="2" i="2">
      <x v="34"/>
    </i>
    <i t="default" r="2" i="3">
      <x v="34"/>
    </i>
    <i t="default" r="2" i="4">
      <x v="34"/>
    </i>
    <i t="default" r="1">
      <x v="16"/>
    </i>
    <i t="default" r="1" i="1">
      <x v="16"/>
    </i>
    <i t="default" r="1" i="2">
      <x v="16"/>
    </i>
    <i t="default" r="1" i="3">
      <x v="16"/>
    </i>
    <i t="default" r="1" i="4">
      <x v="16"/>
    </i>
    <i t="default">
      <x v="23"/>
    </i>
    <i t="default" i="1">
      <x v="23"/>
    </i>
    <i t="default" i="2">
      <x v="23"/>
    </i>
    <i t="default" i="3">
      <x v="23"/>
    </i>
    <i t="default" i="4">
      <x v="23"/>
    </i>
    <i>
      <x v="24"/>
    </i>
    <i r="1">
      <x v="12"/>
    </i>
    <i r="2">
      <x v="19"/>
    </i>
    <i r="3">
      <x v="6"/>
    </i>
    <i r="4">
      <x v="19"/>
    </i>
    <i r="5">
      <x/>
    </i>
    <i r="5" i="1">
      <x v="1"/>
    </i>
    <i r="5" i="2">
      <x v="2"/>
    </i>
    <i r="5" i="3">
      <x v="3"/>
    </i>
    <i r="5" i="4">
      <x v="4"/>
    </i>
    <i t="default" r="3">
      <x v="6"/>
    </i>
    <i t="default" r="3" i="1">
      <x v="6"/>
    </i>
    <i t="default" r="3" i="2">
      <x v="6"/>
    </i>
    <i t="default" r="3" i="3">
      <x v="6"/>
    </i>
    <i t="default" r="3" i="4">
      <x v="6"/>
    </i>
    <i t="default" r="2">
      <x v="19"/>
    </i>
    <i t="default" r="2" i="1">
      <x v="19"/>
    </i>
    <i t="default" r="2" i="2">
      <x v="19"/>
    </i>
    <i t="default" r="2" i="3">
      <x v="19"/>
    </i>
    <i t="default" r="2" i="4">
      <x v="19"/>
    </i>
    <i t="default" r="1">
      <x v="12"/>
    </i>
    <i t="default" r="1" i="1">
      <x v="12"/>
    </i>
    <i t="default" r="1" i="2">
      <x v="12"/>
    </i>
    <i t="default" r="1" i="3">
      <x v="12"/>
    </i>
    <i t="default" r="1" i="4">
      <x v="12"/>
    </i>
    <i t="default">
      <x v="24"/>
    </i>
    <i t="default" i="1">
      <x v="24"/>
    </i>
    <i t="default" i="2">
      <x v="24"/>
    </i>
    <i t="default" i="3">
      <x v="24"/>
    </i>
    <i t="default" i="4">
      <x v="24"/>
    </i>
    <i>
      <x v="25"/>
    </i>
    <i r="1">
      <x v="7"/>
    </i>
    <i r="2">
      <x v="31"/>
    </i>
    <i r="3">
      <x v="16"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 v="16"/>
    </i>
    <i t="default" r="3" i="1">
      <x v="16"/>
    </i>
    <i t="default" r="3" i="2">
      <x v="16"/>
    </i>
    <i t="default" r="3" i="3">
      <x v="16"/>
    </i>
    <i t="default" r="3" i="4">
      <x v="16"/>
    </i>
    <i t="default" r="2">
      <x v="31"/>
    </i>
    <i t="default" r="2" i="1">
      <x v="31"/>
    </i>
    <i t="default" r="2" i="2">
      <x v="31"/>
    </i>
    <i t="default" r="2" i="3">
      <x v="31"/>
    </i>
    <i t="default" r="2" i="4">
      <x v="31"/>
    </i>
    <i t="default" r="1">
      <x v="7"/>
    </i>
    <i t="default" r="1" i="1">
      <x v="7"/>
    </i>
    <i t="default" r="1" i="2">
      <x v="7"/>
    </i>
    <i t="default" r="1" i="3">
      <x v="7"/>
    </i>
    <i t="default" r="1" i="4">
      <x v="7"/>
    </i>
    <i t="default">
      <x v="25"/>
    </i>
    <i t="default" i="1">
      <x v="25"/>
    </i>
    <i t="default" i="2">
      <x v="25"/>
    </i>
    <i t="default" i="3">
      <x v="25"/>
    </i>
    <i t="default" i="4">
      <x v="25"/>
    </i>
    <i>
      <x v="26"/>
    </i>
    <i r="1">
      <x v="27"/>
    </i>
    <i r="2">
      <x v="25"/>
    </i>
    <i r="3">
      <x/>
    </i>
    <i r="4">
      <x v="15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25"/>
    </i>
    <i t="default" r="2" i="1">
      <x v="25"/>
    </i>
    <i t="default" r="2" i="2">
      <x v="25"/>
    </i>
    <i t="default" r="2" i="3">
      <x v="25"/>
    </i>
    <i t="default" r="2" i="4">
      <x v="25"/>
    </i>
    <i t="default" r="1">
      <x v="27"/>
    </i>
    <i t="default" r="1" i="1">
      <x v="27"/>
    </i>
    <i t="default" r="1" i="2">
      <x v="27"/>
    </i>
    <i t="default" r="1" i="3">
      <x v="27"/>
    </i>
    <i t="default" r="1" i="4">
      <x v="27"/>
    </i>
    <i t="default">
      <x v="26"/>
    </i>
    <i t="default" i="1">
      <x v="26"/>
    </i>
    <i t="default" i="2">
      <x v="26"/>
    </i>
    <i t="default" i="3">
      <x v="26"/>
    </i>
    <i t="default" i="4">
      <x v="26"/>
    </i>
    <i>
      <x v="27"/>
    </i>
    <i r="1">
      <x v="21"/>
    </i>
    <i r="2">
      <x v="30"/>
    </i>
    <i r="3">
      <x v="29"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 v="29"/>
    </i>
    <i t="default" r="3" i="1">
      <x v="29"/>
    </i>
    <i t="default" r="3" i="2">
      <x v="29"/>
    </i>
    <i t="default" r="3" i="3">
      <x v="29"/>
    </i>
    <i t="default" r="3" i="4">
      <x v="29"/>
    </i>
    <i t="default" r="2">
      <x v="30"/>
    </i>
    <i t="default" r="2" i="1">
      <x v="30"/>
    </i>
    <i t="default" r="2" i="2">
      <x v="30"/>
    </i>
    <i t="default" r="2" i="3">
      <x v="30"/>
    </i>
    <i t="default" r="2" i="4">
      <x v="30"/>
    </i>
    <i t="default" r="1">
      <x v="21"/>
    </i>
    <i t="default" r="1" i="1">
      <x v="21"/>
    </i>
    <i t="default" r="1" i="2">
      <x v="21"/>
    </i>
    <i t="default" r="1" i="3">
      <x v="21"/>
    </i>
    <i t="default" r="1" i="4">
      <x v="21"/>
    </i>
    <i t="default">
      <x v="27"/>
    </i>
    <i t="default" i="1">
      <x v="27"/>
    </i>
    <i t="default" i="2">
      <x v="27"/>
    </i>
    <i t="default" i="3">
      <x v="27"/>
    </i>
    <i t="default" i="4">
      <x v="27"/>
    </i>
    <i>
      <x v="28"/>
    </i>
    <i r="1">
      <x v="38"/>
    </i>
    <i r="2">
      <x v="26"/>
    </i>
    <i r="3">
      <x v="29"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 v="29"/>
    </i>
    <i t="default" r="3" i="1">
      <x v="29"/>
    </i>
    <i t="default" r="3" i="2">
      <x v="29"/>
    </i>
    <i t="default" r="3" i="3">
      <x v="29"/>
    </i>
    <i t="default" r="3" i="4">
      <x v="29"/>
    </i>
    <i t="default" r="2">
      <x v="26"/>
    </i>
    <i t="default" r="2" i="1">
      <x v="26"/>
    </i>
    <i t="default" r="2" i="2">
      <x v="26"/>
    </i>
    <i t="default" r="2" i="3">
      <x v="26"/>
    </i>
    <i t="default" r="2" i="4">
      <x v="26"/>
    </i>
    <i t="default" r="1">
      <x v="38"/>
    </i>
    <i t="default" r="1" i="1">
      <x v="38"/>
    </i>
    <i t="default" r="1" i="2">
      <x v="38"/>
    </i>
    <i t="default" r="1" i="3">
      <x v="38"/>
    </i>
    <i t="default" r="1" i="4">
      <x v="38"/>
    </i>
    <i t="default">
      <x v="28"/>
    </i>
    <i t="default" i="1">
      <x v="28"/>
    </i>
    <i t="default" i="2">
      <x v="28"/>
    </i>
    <i t="default" i="3">
      <x v="28"/>
    </i>
    <i t="default" i="4">
      <x v="28"/>
    </i>
    <i>
      <x v="29"/>
    </i>
    <i r="1">
      <x v="9"/>
    </i>
    <i r="2">
      <x v="38"/>
    </i>
    <i r="3">
      <x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38"/>
    </i>
    <i t="default" r="2" i="1">
      <x v="38"/>
    </i>
    <i t="default" r="2" i="2">
      <x v="38"/>
    </i>
    <i t="default" r="2" i="3">
      <x v="38"/>
    </i>
    <i t="default" r="2" i="4">
      <x v="38"/>
    </i>
    <i t="default" r="1">
      <x v="9"/>
    </i>
    <i t="default" r="1" i="1">
      <x v="9"/>
    </i>
    <i t="default" r="1" i="2">
      <x v="9"/>
    </i>
    <i t="default" r="1" i="3">
      <x v="9"/>
    </i>
    <i t="default" r="1" i="4">
      <x v="9"/>
    </i>
    <i t="default">
      <x v="29"/>
    </i>
    <i t="default" i="1">
      <x v="29"/>
    </i>
    <i t="default" i="2">
      <x v="29"/>
    </i>
    <i t="default" i="3">
      <x v="29"/>
    </i>
    <i t="default" i="4">
      <x v="29"/>
    </i>
    <i>
      <x v="30"/>
    </i>
    <i r="1">
      <x v="19"/>
    </i>
    <i r="2">
      <x v="36"/>
    </i>
    <i r="3">
      <x/>
    </i>
    <i r="4">
      <x v="12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36"/>
    </i>
    <i t="default" r="2" i="1">
      <x v="36"/>
    </i>
    <i t="default" r="2" i="2">
      <x v="36"/>
    </i>
    <i t="default" r="2" i="3">
      <x v="36"/>
    </i>
    <i t="default" r="2" i="4">
      <x v="36"/>
    </i>
    <i t="default" r="1">
      <x v="19"/>
    </i>
    <i t="default" r="1" i="1">
      <x v="19"/>
    </i>
    <i t="default" r="1" i="2">
      <x v="19"/>
    </i>
    <i t="default" r="1" i="3">
      <x v="19"/>
    </i>
    <i t="default" r="1" i="4">
      <x v="19"/>
    </i>
    <i t="default">
      <x v="30"/>
    </i>
    <i t="default" i="1">
      <x v="30"/>
    </i>
    <i t="default" i="2">
      <x v="30"/>
    </i>
    <i t="default" i="3">
      <x v="30"/>
    </i>
    <i t="default" i="4">
      <x v="30"/>
    </i>
    <i>
      <x v="31"/>
    </i>
    <i r="1">
      <x v="28"/>
    </i>
    <i r="2">
      <x v="23"/>
    </i>
    <i r="3">
      <x v="26"/>
    </i>
    <i r="4">
      <x v="16"/>
    </i>
    <i r="5">
      <x/>
    </i>
    <i r="5" i="1">
      <x v="1"/>
    </i>
    <i r="5" i="2">
      <x v="2"/>
    </i>
    <i r="5" i="3">
      <x v="3"/>
    </i>
    <i r="5" i="4">
      <x v="4"/>
    </i>
    <i t="default" r="3">
      <x v="26"/>
    </i>
    <i t="default" r="3" i="1">
      <x v="26"/>
    </i>
    <i t="default" r="3" i="2">
      <x v="26"/>
    </i>
    <i t="default" r="3" i="3">
      <x v="26"/>
    </i>
    <i t="default" r="3" i="4">
      <x v="26"/>
    </i>
    <i t="default" r="2">
      <x v="23"/>
    </i>
    <i t="default" r="2" i="1">
      <x v="23"/>
    </i>
    <i t="default" r="2" i="2">
      <x v="23"/>
    </i>
    <i t="default" r="2" i="3">
      <x v="23"/>
    </i>
    <i t="default" r="2" i="4">
      <x v="23"/>
    </i>
    <i t="default" r="1">
      <x v="28"/>
    </i>
    <i t="default" r="1" i="1">
      <x v="28"/>
    </i>
    <i t="default" r="1" i="2">
      <x v="28"/>
    </i>
    <i t="default" r="1" i="3">
      <x v="28"/>
    </i>
    <i t="default" r="1" i="4">
      <x v="28"/>
    </i>
    <i t="default">
      <x v="31"/>
    </i>
    <i t="default" i="1">
      <x v="31"/>
    </i>
    <i t="default" i="2">
      <x v="31"/>
    </i>
    <i t="default" i="3">
      <x v="31"/>
    </i>
    <i t="default" i="4">
      <x v="31"/>
    </i>
    <i>
      <x v="32"/>
    </i>
    <i r="1">
      <x v="26"/>
    </i>
    <i r="2">
      <x v="33"/>
    </i>
    <i r="3">
      <x v="17"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 v="17"/>
    </i>
    <i t="default" r="3" i="1">
      <x v="17"/>
    </i>
    <i t="default" r="3" i="2">
      <x v="17"/>
    </i>
    <i t="default" r="3" i="3">
      <x v="17"/>
    </i>
    <i t="default" r="3" i="4">
      <x v="17"/>
    </i>
    <i t="default" r="2">
      <x v="33"/>
    </i>
    <i t="default" r="2" i="1">
      <x v="33"/>
    </i>
    <i t="default" r="2" i="2">
      <x v="33"/>
    </i>
    <i t="default" r="2" i="3">
      <x v="33"/>
    </i>
    <i t="default" r="2" i="4">
      <x v="33"/>
    </i>
    <i t="default" r="1">
      <x v="26"/>
    </i>
    <i t="default" r="1" i="1">
      <x v="26"/>
    </i>
    <i t="default" r="1" i="2">
      <x v="26"/>
    </i>
    <i t="default" r="1" i="3">
      <x v="26"/>
    </i>
    <i t="default" r="1" i="4">
      <x v="26"/>
    </i>
    <i t="default">
      <x v="32"/>
    </i>
    <i t="default" i="1">
      <x v="32"/>
    </i>
    <i t="default" i="2">
      <x v="32"/>
    </i>
    <i t="default" i="3">
      <x v="32"/>
    </i>
    <i t="default" i="4">
      <x v="32"/>
    </i>
    <i>
      <x v="33"/>
    </i>
    <i r="1">
      <x v="34"/>
    </i>
    <i r="2">
      <x v="32"/>
    </i>
    <i r="3">
      <x v="29"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 v="29"/>
    </i>
    <i t="default" r="3" i="1">
      <x v="29"/>
    </i>
    <i t="default" r="3" i="2">
      <x v="29"/>
    </i>
    <i t="default" r="3" i="3">
      <x v="29"/>
    </i>
    <i t="default" r="3" i="4">
      <x v="29"/>
    </i>
    <i t="default" r="2">
      <x v="32"/>
    </i>
    <i t="default" r="2" i="1">
      <x v="32"/>
    </i>
    <i t="default" r="2" i="2">
      <x v="32"/>
    </i>
    <i t="default" r="2" i="3">
      <x v="32"/>
    </i>
    <i t="default" r="2" i="4">
      <x v="32"/>
    </i>
    <i t="default" r="1">
      <x v="34"/>
    </i>
    <i t="default" r="1" i="1">
      <x v="34"/>
    </i>
    <i t="default" r="1" i="2">
      <x v="34"/>
    </i>
    <i t="default" r="1" i="3">
      <x v="34"/>
    </i>
    <i t="default" r="1" i="4">
      <x v="34"/>
    </i>
    <i t="default">
      <x v="33"/>
    </i>
    <i t="default" i="1">
      <x v="33"/>
    </i>
    <i t="default" i="2">
      <x v="33"/>
    </i>
    <i t="default" i="3">
      <x v="33"/>
    </i>
    <i t="default" i="4">
      <x v="33"/>
    </i>
    <i>
      <x v="34"/>
    </i>
    <i r="1">
      <x v="25"/>
    </i>
    <i r="2">
      <x v="22"/>
    </i>
    <i r="3">
      <x v="25"/>
    </i>
    <i r="4">
      <x v="23"/>
    </i>
    <i r="5">
      <x/>
    </i>
    <i r="5" i="1">
      <x v="1"/>
    </i>
    <i r="5" i="2">
      <x v="2"/>
    </i>
    <i r="5" i="3">
      <x v="3"/>
    </i>
    <i r="5" i="4">
      <x v="4"/>
    </i>
    <i t="default" r="3">
      <x v="25"/>
    </i>
    <i t="default" r="3" i="1">
      <x v="25"/>
    </i>
    <i t="default" r="3" i="2">
      <x v="25"/>
    </i>
    <i t="default" r="3" i="3">
      <x v="25"/>
    </i>
    <i t="default" r="3" i="4">
      <x v="25"/>
    </i>
    <i t="default" r="2">
      <x v="22"/>
    </i>
    <i t="default" r="2" i="1">
      <x v="22"/>
    </i>
    <i t="default" r="2" i="2">
      <x v="22"/>
    </i>
    <i t="default" r="2" i="3">
      <x v="22"/>
    </i>
    <i t="default" r="2" i="4">
      <x v="22"/>
    </i>
    <i t="default" r="1">
      <x v="25"/>
    </i>
    <i t="default" r="1" i="1">
      <x v="25"/>
    </i>
    <i t="default" r="1" i="2">
      <x v="25"/>
    </i>
    <i t="default" r="1" i="3">
      <x v="25"/>
    </i>
    <i t="default" r="1" i="4">
      <x v="25"/>
    </i>
    <i t="default">
      <x v="34"/>
    </i>
    <i t="default" i="1">
      <x v="34"/>
    </i>
    <i t="default" i="2">
      <x v="34"/>
    </i>
    <i t="default" i="3">
      <x v="34"/>
    </i>
    <i t="default" i="4">
      <x v="34"/>
    </i>
    <i>
      <x v="35"/>
    </i>
    <i r="1">
      <x v="29"/>
    </i>
    <i r="2">
      <x v="27"/>
    </i>
    <i r="3">
      <x v="18"/>
    </i>
    <i r="4">
      <x v="20"/>
    </i>
    <i r="5">
      <x/>
    </i>
    <i r="5" i="1">
      <x v="1"/>
    </i>
    <i r="5" i="2">
      <x v="2"/>
    </i>
    <i r="5" i="3">
      <x v="3"/>
    </i>
    <i r="5" i="4">
      <x v="4"/>
    </i>
    <i t="default" r="3">
      <x v="18"/>
    </i>
    <i t="default" r="3" i="1">
      <x v="18"/>
    </i>
    <i t="default" r="3" i="2">
      <x v="18"/>
    </i>
    <i t="default" r="3" i="3">
      <x v="18"/>
    </i>
    <i t="default" r="3" i="4">
      <x v="18"/>
    </i>
    <i t="default" r="2">
      <x v="27"/>
    </i>
    <i t="default" r="2" i="1">
      <x v="27"/>
    </i>
    <i t="default" r="2" i="2">
      <x v="27"/>
    </i>
    <i t="default" r="2" i="3">
      <x v="27"/>
    </i>
    <i t="default" r="2" i="4">
      <x v="27"/>
    </i>
    <i t="default" r="1">
      <x v="29"/>
    </i>
    <i t="default" r="1" i="1">
      <x v="29"/>
    </i>
    <i t="default" r="1" i="2">
      <x v="29"/>
    </i>
    <i t="default" r="1" i="3">
      <x v="29"/>
    </i>
    <i t="default" r="1" i="4">
      <x v="29"/>
    </i>
    <i t="default">
      <x v="35"/>
    </i>
    <i t="default" i="1">
      <x v="35"/>
    </i>
    <i t="default" i="2">
      <x v="35"/>
    </i>
    <i t="default" i="3">
      <x v="35"/>
    </i>
    <i t="default" i="4">
      <x v="35"/>
    </i>
    <i>
      <x v="36"/>
    </i>
    <i r="1">
      <x v="32"/>
    </i>
    <i r="2">
      <x v="39"/>
    </i>
    <i r="3">
      <x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39"/>
    </i>
    <i t="default" r="2" i="1">
      <x v="39"/>
    </i>
    <i t="default" r="2" i="2">
      <x v="39"/>
    </i>
    <i t="default" r="2" i="3">
      <x v="39"/>
    </i>
    <i t="default" r="2" i="4">
      <x v="39"/>
    </i>
    <i t="default" r="1">
      <x v="32"/>
    </i>
    <i t="default" r="1" i="1">
      <x v="32"/>
    </i>
    <i t="default" r="1" i="2">
      <x v="32"/>
    </i>
    <i t="default" r="1" i="3">
      <x v="32"/>
    </i>
    <i t="default" r="1" i="4">
      <x v="32"/>
    </i>
    <i t="default">
      <x v="36"/>
    </i>
    <i t="default" i="1">
      <x v="36"/>
    </i>
    <i t="default" i="2">
      <x v="36"/>
    </i>
    <i t="default" i="3">
      <x v="36"/>
    </i>
    <i t="default" i="4">
      <x v="36"/>
    </i>
    <i>
      <x v="37"/>
    </i>
    <i r="1">
      <x/>
    </i>
    <i r="2">
      <x v="44"/>
    </i>
    <i r="3">
      <x v="2"/>
    </i>
    <i r="4">
      <x v="2"/>
    </i>
    <i r="5">
      <x/>
    </i>
    <i r="5" i="1">
      <x v="1"/>
    </i>
    <i r="5" i="2">
      <x v="2"/>
    </i>
    <i r="5" i="3">
      <x v="3"/>
    </i>
    <i r="5" i="4">
      <x v="4"/>
    </i>
    <i t="default" r="3">
      <x v="2"/>
    </i>
    <i t="default" r="3" i="1">
      <x v="2"/>
    </i>
    <i t="default" r="3" i="2">
      <x v="2"/>
    </i>
    <i t="default" r="3" i="3">
      <x v="2"/>
    </i>
    <i t="default" r="3" i="4">
      <x v="2"/>
    </i>
    <i t="default" r="2">
      <x v="44"/>
    </i>
    <i t="default" r="2" i="1">
      <x v="44"/>
    </i>
    <i t="default" r="2" i="2">
      <x v="44"/>
    </i>
    <i t="default" r="2" i="3">
      <x v="44"/>
    </i>
    <i t="default" r="2" i="4">
      <x v="44"/>
    </i>
    <i t="default" r="1">
      <x/>
    </i>
    <i t="default" r="1" i="1">
      <x/>
    </i>
    <i t="default" r="1" i="2">
      <x/>
    </i>
    <i t="default" r="1" i="3">
      <x/>
    </i>
    <i t="default" r="1" i="4">
      <x/>
    </i>
    <i t="default">
      <x v="37"/>
    </i>
    <i t="default" i="1">
      <x v="37"/>
    </i>
    <i t="default" i="2">
      <x v="37"/>
    </i>
    <i t="default" i="3">
      <x v="37"/>
    </i>
    <i t="default" i="4">
      <x v="37"/>
    </i>
    <i>
      <x v="38"/>
    </i>
    <i r="1">
      <x v="36"/>
    </i>
    <i r="2">
      <x v="42"/>
    </i>
    <i r="3">
      <x/>
    </i>
    <i r="4">
      <x v="5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42"/>
    </i>
    <i t="default" r="2" i="1">
      <x v="42"/>
    </i>
    <i t="default" r="2" i="2">
      <x v="42"/>
    </i>
    <i t="default" r="2" i="3">
      <x v="42"/>
    </i>
    <i t="default" r="2" i="4">
      <x v="42"/>
    </i>
    <i t="default" r="1">
      <x v="36"/>
    </i>
    <i t="default" r="1" i="1">
      <x v="36"/>
    </i>
    <i t="default" r="1" i="2">
      <x v="36"/>
    </i>
    <i t="default" r="1" i="3">
      <x v="36"/>
    </i>
    <i t="default" r="1" i="4">
      <x v="36"/>
    </i>
    <i t="default">
      <x v="38"/>
    </i>
    <i t="default" i="1">
      <x v="38"/>
    </i>
    <i t="default" i="2">
      <x v="38"/>
    </i>
    <i t="default" i="3">
      <x v="38"/>
    </i>
    <i t="default" i="4">
      <x v="38"/>
    </i>
    <i>
      <x v="39"/>
    </i>
    <i r="1">
      <x v="12"/>
    </i>
    <i r="2">
      <x v="46"/>
    </i>
    <i r="3">
      <x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46"/>
    </i>
    <i t="default" r="2" i="1">
      <x v="46"/>
    </i>
    <i t="default" r="2" i="2">
      <x v="46"/>
    </i>
    <i t="default" r="2" i="3">
      <x v="46"/>
    </i>
    <i t="default" r="2" i="4">
      <x v="46"/>
    </i>
    <i t="default" r="1">
      <x v="12"/>
    </i>
    <i t="default" r="1" i="1">
      <x v="12"/>
    </i>
    <i t="default" r="1" i="2">
      <x v="12"/>
    </i>
    <i t="default" r="1" i="3">
      <x v="12"/>
    </i>
    <i t="default" r="1" i="4">
      <x v="12"/>
    </i>
    <i t="default">
      <x v="39"/>
    </i>
    <i t="default" i="1">
      <x v="39"/>
    </i>
    <i t="default" i="2">
      <x v="39"/>
    </i>
    <i t="default" i="3">
      <x v="39"/>
    </i>
    <i t="default" i="4">
      <x v="39"/>
    </i>
    <i>
      <x v="40"/>
    </i>
    <i r="1">
      <x v="40"/>
    </i>
    <i r="2">
      <x v="41"/>
    </i>
    <i r="3">
      <x v="29"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 v="29"/>
    </i>
    <i t="default" r="3" i="1">
      <x v="29"/>
    </i>
    <i t="default" r="3" i="2">
      <x v="29"/>
    </i>
    <i t="default" r="3" i="3">
      <x v="29"/>
    </i>
    <i t="default" r="3" i="4">
      <x v="29"/>
    </i>
    <i t="default" r="2">
      <x v="41"/>
    </i>
    <i t="default" r="2" i="1">
      <x v="41"/>
    </i>
    <i t="default" r="2" i="2">
      <x v="41"/>
    </i>
    <i t="default" r="2" i="3">
      <x v="41"/>
    </i>
    <i t="default" r="2" i="4">
      <x v="41"/>
    </i>
    <i t="default" r="1">
      <x v="40"/>
    </i>
    <i t="default" r="1" i="1">
      <x v="40"/>
    </i>
    <i t="default" r="1" i="2">
      <x v="40"/>
    </i>
    <i t="default" r="1" i="3">
      <x v="40"/>
    </i>
    <i t="default" r="1" i="4">
      <x v="40"/>
    </i>
    <i t="default">
      <x v="40"/>
    </i>
    <i t="default" i="1">
      <x v="40"/>
    </i>
    <i t="default" i="2">
      <x v="40"/>
    </i>
    <i t="default" i="3">
      <x v="40"/>
    </i>
    <i t="default" i="4">
      <x v="40"/>
    </i>
    <i>
      <x v="41"/>
    </i>
    <i r="1">
      <x v="37"/>
    </i>
    <i r="2">
      <x v="43"/>
    </i>
    <i r="3">
      <x/>
    </i>
    <i r="4">
      <x v="26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43"/>
    </i>
    <i t="default" r="2" i="1">
      <x v="43"/>
    </i>
    <i t="default" r="2" i="2">
      <x v="43"/>
    </i>
    <i t="default" r="2" i="3">
      <x v="43"/>
    </i>
    <i t="default" r="2" i="4">
      <x v="43"/>
    </i>
    <i t="default" r="1">
      <x v="37"/>
    </i>
    <i t="default" r="1" i="1">
      <x v="37"/>
    </i>
    <i t="default" r="1" i="2">
      <x v="37"/>
    </i>
    <i t="default" r="1" i="3">
      <x v="37"/>
    </i>
    <i t="default" r="1" i="4">
      <x v="37"/>
    </i>
    <i t="default">
      <x v="41"/>
    </i>
    <i t="default" i="1">
      <x v="41"/>
    </i>
    <i t="default" i="2">
      <x v="41"/>
    </i>
    <i t="default" i="3">
      <x v="41"/>
    </i>
    <i t="default" i="4">
      <x v="41"/>
    </i>
    <i>
      <x v="42"/>
    </i>
    <i r="1">
      <x v="43"/>
    </i>
    <i r="2">
      <x v="40"/>
    </i>
    <i r="3">
      <x v="13"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 v="13"/>
    </i>
    <i t="default" r="3" i="1">
      <x v="13"/>
    </i>
    <i t="default" r="3" i="2">
      <x v="13"/>
    </i>
    <i t="default" r="3" i="3">
      <x v="13"/>
    </i>
    <i t="default" r="3" i="4">
      <x v="13"/>
    </i>
    <i t="default" r="2">
      <x v="40"/>
    </i>
    <i t="default" r="2" i="1">
      <x v="40"/>
    </i>
    <i t="default" r="2" i="2">
      <x v="40"/>
    </i>
    <i t="default" r="2" i="3">
      <x v="40"/>
    </i>
    <i t="default" r="2" i="4">
      <x v="40"/>
    </i>
    <i t="default" r="1">
      <x v="43"/>
    </i>
    <i t="default" r="1" i="1">
      <x v="43"/>
    </i>
    <i t="default" r="1" i="2">
      <x v="43"/>
    </i>
    <i t="default" r="1" i="3">
      <x v="43"/>
    </i>
    <i t="default" r="1" i="4">
      <x v="43"/>
    </i>
    <i t="default">
      <x v="42"/>
    </i>
    <i t="default" i="1">
      <x v="42"/>
    </i>
    <i t="default" i="2">
      <x v="42"/>
    </i>
    <i t="default" i="3">
      <x v="42"/>
    </i>
    <i t="default" i="4">
      <x v="42"/>
    </i>
    <i>
      <x v="43"/>
    </i>
    <i r="1">
      <x v="13"/>
    </i>
    <i r="2">
      <x v="47"/>
    </i>
    <i r="3">
      <x v="8"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 v="8"/>
    </i>
    <i t="default" r="3" i="1">
      <x v="8"/>
    </i>
    <i t="default" r="3" i="2">
      <x v="8"/>
    </i>
    <i t="default" r="3" i="3">
      <x v="8"/>
    </i>
    <i t="default" r="3" i="4">
      <x v="8"/>
    </i>
    <i t="default" r="2">
      <x v="47"/>
    </i>
    <i t="default" r="2" i="1">
      <x v="47"/>
    </i>
    <i t="default" r="2" i="2">
      <x v="47"/>
    </i>
    <i t="default" r="2" i="3">
      <x v="47"/>
    </i>
    <i t="default" r="2" i="4">
      <x v="47"/>
    </i>
    <i t="default" r="1">
      <x v="13"/>
    </i>
    <i t="default" r="1" i="1">
      <x v="13"/>
    </i>
    <i t="default" r="1" i="2">
      <x v="13"/>
    </i>
    <i t="default" r="1" i="3">
      <x v="13"/>
    </i>
    <i t="default" r="1" i="4">
      <x v="13"/>
    </i>
    <i t="default">
      <x v="43"/>
    </i>
    <i t="default" i="1">
      <x v="43"/>
    </i>
    <i t="default" i="2">
      <x v="43"/>
    </i>
    <i t="default" i="3">
      <x v="43"/>
    </i>
    <i t="default" i="4">
      <x v="43"/>
    </i>
    <i>
      <x v="44"/>
    </i>
    <i r="1">
      <x v="51"/>
    </i>
    <i r="2">
      <x v="45"/>
    </i>
    <i r="3">
      <x v="27"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 v="27"/>
    </i>
    <i t="default" r="3" i="1">
      <x v="27"/>
    </i>
    <i t="default" r="3" i="2">
      <x v="27"/>
    </i>
    <i t="default" r="3" i="3">
      <x v="27"/>
    </i>
    <i t="default" r="3" i="4">
      <x v="27"/>
    </i>
    <i t="default" r="2">
      <x v="45"/>
    </i>
    <i t="default" r="2" i="1">
      <x v="45"/>
    </i>
    <i t="default" r="2" i="2">
      <x v="45"/>
    </i>
    <i t="default" r="2" i="3">
      <x v="45"/>
    </i>
    <i t="default" r="2" i="4">
      <x v="45"/>
    </i>
    <i t="default" r="1">
      <x v="51"/>
    </i>
    <i t="default" r="1" i="1">
      <x v="51"/>
    </i>
    <i t="default" r="1" i="2">
      <x v="51"/>
    </i>
    <i t="default" r="1" i="3">
      <x v="51"/>
    </i>
    <i t="default" r="1" i="4">
      <x v="51"/>
    </i>
    <i t="default">
      <x v="44"/>
    </i>
    <i t="default" i="1">
      <x v="44"/>
    </i>
    <i t="default" i="2">
      <x v="44"/>
    </i>
    <i t="default" i="3">
      <x v="44"/>
    </i>
    <i t="default" i="4">
      <x v="44"/>
    </i>
    <i>
      <x v="45"/>
    </i>
    <i r="1">
      <x v="41"/>
    </i>
    <i r="2">
      <x v="51"/>
    </i>
    <i r="3">
      <x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51"/>
    </i>
    <i t="default" r="2" i="1">
      <x v="51"/>
    </i>
    <i t="default" r="2" i="2">
      <x v="51"/>
    </i>
    <i t="default" r="2" i="3">
      <x v="51"/>
    </i>
    <i t="default" r="2" i="4">
      <x v="51"/>
    </i>
    <i t="default" r="1">
      <x v="41"/>
    </i>
    <i t="default" r="1" i="1">
      <x v="41"/>
    </i>
    <i t="default" r="1" i="2">
      <x v="41"/>
    </i>
    <i t="default" r="1" i="3">
      <x v="41"/>
    </i>
    <i t="default" r="1" i="4">
      <x v="41"/>
    </i>
    <i t="default">
      <x v="45"/>
    </i>
    <i t="default" i="1">
      <x v="45"/>
    </i>
    <i t="default" i="2">
      <x v="45"/>
    </i>
    <i t="default" i="3">
      <x v="45"/>
    </i>
    <i t="default" i="4">
      <x v="45"/>
    </i>
    <i>
      <x v="46"/>
    </i>
    <i r="1">
      <x/>
    </i>
    <i r="2">
      <x v="49"/>
    </i>
    <i r="3">
      <x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49"/>
    </i>
    <i t="default" r="2" i="1">
      <x v="49"/>
    </i>
    <i t="default" r="2" i="2">
      <x v="49"/>
    </i>
    <i t="default" r="2" i="3">
      <x v="49"/>
    </i>
    <i t="default" r="2" i="4">
      <x v="49"/>
    </i>
    <i t="default" r="1">
      <x/>
    </i>
    <i t="default" r="1" i="1">
      <x/>
    </i>
    <i t="default" r="1" i="2">
      <x/>
    </i>
    <i t="default" r="1" i="3">
      <x/>
    </i>
    <i t="default" r="1" i="4">
      <x/>
    </i>
    <i t="default">
      <x v="46"/>
    </i>
    <i t="default" i="1">
      <x v="46"/>
    </i>
    <i t="default" i="2">
      <x v="46"/>
    </i>
    <i t="default" i="3">
      <x v="46"/>
    </i>
    <i t="default" i="4">
      <x v="46"/>
    </i>
    <i>
      <x v="47"/>
    </i>
    <i r="1">
      <x v="45"/>
    </i>
    <i r="2">
      <x v="52"/>
    </i>
    <i r="3">
      <x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52"/>
    </i>
    <i t="default" r="2" i="1">
      <x v="52"/>
    </i>
    <i t="default" r="2" i="2">
      <x v="52"/>
    </i>
    <i t="default" r="2" i="3">
      <x v="52"/>
    </i>
    <i t="default" r="2" i="4">
      <x v="52"/>
    </i>
    <i t="default" r="1">
      <x v="45"/>
    </i>
    <i t="default" r="1" i="1">
      <x v="45"/>
    </i>
    <i t="default" r="1" i="2">
      <x v="45"/>
    </i>
    <i t="default" r="1" i="3">
      <x v="45"/>
    </i>
    <i t="default" r="1" i="4">
      <x v="45"/>
    </i>
    <i t="default">
      <x v="47"/>
    </i>
    <i t="default" i="1">
      <x v="47"/>
    </i>
    <i t="default" i="2">
      <x v="47"/>
    </i>
    <i t="default" i="3">
      <x v="47"/>
    </i>
    <i t="default" i="4">
      <x v="47"/>
    </i>
    <i>
      <x v="48"/>
    </i>
    <i r="1">
      <x v="46"/>
    </i>
    <i r="2">
      <x v="54"/>
    </i>
    <i r="3">
      <x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54"/>
    </i>
    <i t="default" r="2" i="1">
      <x v="54"/>
    </i>
    <i t="default" r="2" i="2">
      <x v="54"/>
    </i>
    <i t="default" r="2" i="3">
      <x v="54"/>
    </i>
    <i t="default" r="2" i="4">
      <x v="54"/>
    </i>
    <i t="default" r="1">
      <x v="46"/>
    </i>
    <i t="default" r="1" i="1">
      <x v="46"/>
    </i>
    <i t="default" r="1" i="2">
      <x v="46"/>
    </i>
    <i t="default" r="1" i="3">
      <x v="46"/>
    </i>
    <i t="default" r="1" i="4">
      <x v="46"/>
    </i>
    <i t="default">
      <x v="48"/>
    </i>
    <i t="default" i="1">
      <x v="48"/>
    </i>
    <i t="default" i="2">
      <x v="48"/>
    </i>
    <i t="default" i="3">
      <x v="48"/>
    </i>
    <i t="default" i="4">
      <x v="48"/>
    </i>
    <i>
      <x v="49"/>
    </i>
    <i r="1">
      <x v="35"/>
    </i>
    <i r="2">
      <x v="53"/>
    </i>
    <i r="3">
      <x v="29"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 v="29"/>
    </i>
    <i t="default" r="3" i="1">
      <x v="29"/>
    </i>
    <i t="default" r="3" i="2">
      <x v="29"/>
    </i>
    <i t="default" r="3" i="3">
      <x v="29"/>
    </i>
    <i t="default" r="3" i="4">
      <x v="29"/>
    </i>
    <i t="default" r="2">
      <x v="53"/>
    </i>
    <i t="default" r="2" i="1">
      <x v="53"/>
    </i>
    <i t="default" r="2" i="2">
      <x v="53"/>
    </i>
    <i t="default" r="2" i="3">
      <x v="53"/>
    </i>
    <i t="default" r="2" i="4">
      <x v="53"/>
    </i>
    <i t="default" r="1">
      <x v="35"/>
    </i>
    <i t="default" r="1" i="1">
      <x v="35"/>
    </i>
    <i t="default" r="1" i="2">
      <x v="35"/>
    </i>
    <i t="default" r="1" i="3">
      <x v="35"/>
    </i>
    <i t="default" r="1" i="4">
      <x v="35"/>
    </i>
    <i t="default">
      <x v="49"/>
    </i>
    <i t="default" i="1">
      <x v="49"/>
    </i>
    <i t="default" i="2">
      <x v="49"/>
    </i>
    <i t="default" i="3">
      <x v="49"/>
    </i>
    <i t="default" i="4">
      <x v="49"/>
    </i>
    <i>
      <x v="50"/>
    </i>
    <i r="1">
      <x/>
    </i>
    <i r="2">
      <x v="56"/>
    </i>
    <i r="3">
      <x v="9"/>
    </i>
    <i r="4">
      <x v="13"/>
    </i>
    <i r="5">
      <x/>
    </i>
    <i r="5" i="1">
      <x v="1"/>
    </i>
    <i r="5" i="2">
      <x v="2"/>
    </i>
    <i r="5" i="3">
      <x v="3"/>
    </i>
    <i r="5" i="4">
      <x v="4"/>
    </i>
    <i t="default" r="3">
      <x v="9"/>
    </i>
    <i t="default" r="3" i="1">
      <x v="9"/>
    </i>
    <i t="default" r="3" i="2">
      <x v="9"/>
    </i>
    <i t="default" r="3" i="3">
      <x v="9"/>
    </i>
    <i t="default" r="3" i="4">
      <x v="9"/>
    </i>
    <i t="default" r="2">
      <x v="56"/>
    </i>
    <i t="default" r="2" i="1">
      <x v="56"/>
    </i>
    <i t="default" r="2" i="2">
      <x v="56"/>
    </i>
    <i t="default" r="2" i="3">
      <x v="56"/>
    </i>
    <i t="default" r="2" i="4">
      <x v="56"/>
    </i>
    <i t="default" r="1">
      <x/>
    </i>
    <i t="default" r="1" i="1">
      <x/>
    </i>
    <i t="default" r="1" i="2">
      <x/>
    </i>
    <i t="default" r="1" i="3">
      <x/>
    </i>
    <i t="default" r="1" i="4">
      <x/>
    </i>
    <i t="default">
      <x v="50"/>
    </i>
    <i t="default" i="1">
      <x v="50"/>
    </i>
    <i t="default" i="2">
      <x v="50"/>
    </i>
    <i t="default" i="3">
      <x v="50"/>
    </i>
    <i t="default" i="4">
      <x v="50"/>
    </i>
    <i>
      <x v="51"/>
    </i>
    <i r="1">
      <x/>
    </i>
    <i r="2">
      <x v="55"/>
    </i>
    <i r="3">
      <x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55"/>
    </i>
    <i t="default" r="2" i="1">
      <x v="55"/>
    </i>
    <i t="default" r="2" i="2">
      <x v="55"/>
    </i>
    <i t="default" r="2" i="3">
      <x v="55"/>
    </i>
    <i t="default" r="2" i="4">
      <x v="55"/>
    </i>
    <i t="default" r="1">
      <x/>
    </i>
    <i t="default" r="1" i="1">
      <x/>
    </i>
    <i t="default" r="1" i="2">
      <x/>
    </i>
    <i t="default" r="1" i="3">
      <x/>
    </i>
    <i t="default" r="1" i="4">
      <x/>
    </i>
    <i t="default">
      <x v="51"/>
    </i>
    <i t="default" i="1">
      <x v="51"/>
    </i>
    <i t="default" i="2">
      <x v="51"/>
    </i>
    <i t="default" i="3">
      <x v="51"/>
    </i>
    <i t="default" i="4">
      <x v="51"/>
    </i>
    <i>
      <x v="52"/>
    </i>
    <i r="1">
      <x v="42"/>
    </i>
    <i r="2">
      <x v="57"/>
    </i>
    <i r="3">
      <x/>
    </i>
    <i r="4">
      <x v="10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57"/>
    </i>
    <i t="default" r="2" i="1">
      <x v="57"/>
    </i>
    <i t="default" r="2" i="2">
      <x v="57"/>
    </i>
    <i t="default" r="2" i="3">
      <x v="57"/>
    </i>
    <i t="default" r="2" i="4">
      <x v="57"/>
    </i>
    <i t="default" r="1">
      <x v="42"/>
    </i>
    <i t="default" r="1" i="1">
      <x v="42"/>
    </i>
    <i t="default" r="1" i="2">
      <x v="42"/>
    </i>
    <i t="default" r="1" i="3">
      <x v="42"/>
    </i>
    <i t="default" r="1" i="4">
      <x v="42"/>
    </i>
    <i t="default">
      <x v="52"/>
    </i>
    <i t="default" i="1">
      <x v="52"/>
    </i>
    <i t="default" i="2">
      <x v="52"/>
    </i>
    <i t="default" i="3">
      <x v="52"/>
    </i>
    <i t="default" i="4">
      <x v="52"/>
    </i>
    <i>
      <x v="53"/>
    </i>
    <i r="1">
      <x v="22"/>
    </i>
    <i r="2">
      <x v="58"/>
    </i>
    <i r="3">
      <x v="24"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 v="24"/>
    </i>
    <i t="default" r="3" i="1">
      <x v="24"/>
    </i>
    <i t="default" r="3" i="2">
      <x v="24"/>
    </i>
    <i t="default" r="3" i="3">
      <x v="24"/>
    </i>
    <i t="default" r="3" i="4">
      <x v="24"/>
    </i>
    <i t="default" r="2">
      <x v="58"/>
    </i>
    <i t="default" r="2" i="1">
      <x v="58"/>
    </i>
    <i t="default" r="2" i="2">
      <x v="58"/>
    </i>
    <i t="default" r="2" i="3">
      <x v="58"/>
    </i>
    <i t="default" r="2" i="4">
      <x v="58"/>
    </i>
    <i t="default" r="1">
      <x v="22"/>
    </i>
    <i t="default" r="1" i="1">
      <x v="22"/>
    </i>
    <i t="default" r="1" i="2">
      <x v="22"/>
    </i>
    <i t="default" r="1" i="3">
      <x v="22"/>
    </i>
    <i t="default" r="1" i="4">
      <x v="22"/>
    </i>
    <i t="default">
      <x v="53"/>
    </i>
    <i t="default" i="1">
      <x v="53"/>
    </i>
    <i t="default" i="2">
      <x v="53"/>
    </i>
    <i t="default" i="3">
      <x v="53"/>
    </i>
    <i t="default" i="4">
      <x v="53"/>
    </i>
    <i>
      <x v="54"/>
    </i>
    <i r="1">
      <x v="14"/>
    </i>
    <i r="2">
      <x v="63"/>
    </i>
    <i r="3">
      <x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63"/>
    </i>
    <i t="default" r="2" i="1">
      <x v="63"/>
    </i>
    <i t="default" r="2" i="2">
      <x v="63"/>
    </i>
    <i t="default" r="2" i="3">
      <x v="63"/>
    </i>
    <i t="default" r="2" i="4">
      <x v="63"/>
    </i>
    <i t="default" r="1">
      <x v="14"/>
    </i>
    <i t="default" r="1" i="1">
      <x v="14"/>
    </i>
    <i t="default" r="1" i="2">
      <x v="14"/>
    </i>
    <i t="default" r="1" i="3">
      <x v="14"/>
    </i>
    <i t="default" r="1" i="4">
      <x v="14"/>
    </i>
    <i t="default">
      <x v="54"/>
    </i>
    <i t="default" i="1">
      <x v="54"/>
    </i>
    <i t="default" i="2">
      <x v="54"/>
    </i>
    <i t="default" i="3">
      <x v="54"/>
    </i>
    <i t="default" i="4">
      <x v="54"/>
    </i>
    <i>
      <x v="55"/>
    </i>
    <i r="1">
      <x v="38"/>
    </i>
    <i r="2">
      <x v="59"/>
    </i>
    <i r="3">
      <x v="23"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 v="23"/>
    </i>
    <i t="default" r="3" i="1">
      <x v="23"/>
    </i>
    <i t="default" r="3" i="2">
      <x v="23"/>
    </i>
    <i t="default" r="3" i="3">
      <x v="23"/>
    </i>
    <i t="default" r="3" i="4">
      <x v="23"/>
    </i>
    <i t="default" r="2">
      <x v="59"/>
    </i>
    <i t="default" r="2" i="1">
      <x v="59"/>
    </i>
    <i t="default" r="2" i="2">
      <x v="59"/>
    </i>
    <i t="default" r="2" i="3">
      <x v="59"/>
    </i>
    <i t="default" r="2" i="4">
      <x v="59"/>
    </i>
    <i t="default" r="1">
      <x v="38"/>
    </i>
    <i t="default" r="1" i="1">
      <x v="38"/>
    </i>
    <i t="default" r="1" i="2">
      <x v="38"/>
    </i>
    <i t="default" r="1" i="3">
      <x v="38"/>
    </i>
    <i t="default" r="1" i="4">
      <x v="38"/>
    </i>
    <i t="default">
      <x v="55"/>
    </i>
    <i t="default" i="1">
      <x v="55"/>
    </i>
    <i t="default" i="2">
      <x v="55"/>
    </i>
    <i t="default" i="3">
      <x v="55"/>
    </i>
    <i t="default" i="4">
      <x v="55"/>
    </i>
    <i>
      <x v="56"/>
    </i>
    <i r="1">
      <x v="39"/>
    </i>
    <i r="2">
      <x v="62"/>
    </i>
    <i r="3">
      <x/>
    </i>
    <i r="4">
      <x v="18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62"/>
    </i>
    <i t="default" r="2" i="1">
      <x v="62"/>
    </i>
    <i t="default" r="2" i="2">
      <x v="62"/>
    </i>
    <i t="default" r="2" i="3">
      <x v="62"/>
    </i>
    <i t="default" r="2" i="4">
      <x v="62"/>
    </i>
    <i t="default" r="1">
      <x v="39"/>
    </i>
    <i t="default" r="1" i="1">
      <x v="39"/>
    </i>
    <i t="default" r="1" i="2">
      <x v="39"/>
    </i>
    <i t="default" r="1" i="3">
      <x v="39"/>
    </i>
    <i t="default" r="1" i="4">
      <x v="39"/>
    </i>
    <i t="default">
      <x v="56"/>
    </i>
    <i t="default" i="1">
      <x v="56"/>
    </i>
    <i t="default" i="2">
      <x v="56"/>
    </i>
    <i t="default" i="3">
      <x v="56"/>
    </i>
    <i t="default" i="4">
      <x v="56"/>
    </i>
    <i>
      <x v="57"/>
    </i>
    <i r="1">
      <x/>
    </i>
    <i r="2">
      <x v="64"/>
    </i>
    <i r="3">
      <x v="22"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 v="22"/>
    </i>
    <i t="default" r="3" i="1">
      <x v="22"/>
    </i>
    <i t="default" r="3" i="2">
      <x v="22"/>
    </i>
    <i t="default" r="3" i="3">
      <x v="22"/>
    </i>
    <i t="default" r="3" i="4">
      <x v="22"/>
    </i>
    <i t="default" r="2">
      <x v="64"/>
    </i>
    <i t="default" r="2" i="1">
      <x v="64"/>
    </i>
    <i t="default" r="2" i="2">
      <x v="64"/>
    </i>
    <i t="default" r="2" i="3">
      <x v="64"/>
    </i>
    <i t="default" r="2" i="4">
      <x v="64"/>
    </i>
    <i t="default" r="1">
      <x/>
    </i>
    <i t="default" r="1" i="1">
      <x/>
    </i>
    <i t="default" r="1" i="2">
      <x/>
    </i>
    <i t="default" r="1" i="3">
      <x/>
    </i>
    <i t="default" r="1" i="4">
      <x/>
    </i>
    <i t="default">
      <x v="57"/>
    </i>
    <i t="default" i="1">
      <x v="57"/>
    </i>
    <i t="default" i="2">
      <x v="57"/>
    </i>
    <i t="default" i="3">
      <x v="57"/>
    </i>
    <i t="default" i="4">
      <x v="57"/>
    </i>
    <i>
      <x v="58"/>
    </i>
    <i r="1">
      <x/>
    </i>
    <i r="2">
      <x v="61"/>
    </i>
    <i r="3">
      <x/>
    </i>
    <i r="4">
      <x v="29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61"/>
    </i>
    <i t="default" r="2" i="1">
      <x v="61"/>
    </i>
    <i t="default" r="2" i="2">
      <x v="61"/>
    </i>
    <i t="default" r="2" i="3">
      <x v="61"/>
    </i>
    <i t="default" r="2" i="4">
      <x v="61"/>
    </i>
    <i t="default" r="1">
      <x/>
    </i>
    <i t="default" r="1" i="1">
      <x/>
    </i>
    <i t="default" r="1" i="2">
      <x/>
    </i>
    <i t="default" r="1" i="3">
      <x/>
    </i>
    <i t="default" r="1" i="4">
      <x/>
    </i>
    <i t="default">
      <x v="58"/>
    </i>
    <i t="default" i="1">
      <x v="58"/>
    </i>
    <i t="default" i="2">
      <x v="58"/>
    </i>
    <i t="default" i="3">
      <x v="58"/>
    </i>
    <i t="default" i="4">
      <x v="58"/>
    </i>
    <i>
      <x v="59"/>
    </i>
    <i r="1">
      <x v="51"/>
    </i>
    <i r="2">
      <x v="60"/>
    </i>
    <i r="3">
      <x v="28"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 v="28"/>
    </i>
    <i t="default" r="3" i="1">
      <x v="28"/>
    </i>
    <i t="default" r="3" i="2">
      <x v="28"/>
    </i>
    <i t="default" r="3" i="3">
      <x v="28"/>
    </i>
    <i t="default" r="3" i="4">
      <x v="28"/>
    </i>
    <i t="default" r="2">
      <x v="60"/>
    </i>
    <i t="default" r="2" i="1">
      <x v="60"/>
    </i>
    <i t="default" r="2" i="2">
      <x v="60"/>
    </i>
    <i t="default" r="2" i="3">
      <x v="60"/>
    </i>
    <i t="default" r="2" i="4">
      <x v="60"/>
    </i>
    <i t="default" r="1">
      <x v="51"/>
    </i>
    <i t="default" r="1" i="1">
      <x v="51"/>
    </i>
    <i t="default" r="1" i="2">
      <x v="51"/>
    </i>
    <i t="default" r="1" i="3">
      <x v="51"/>
    </i>
    <i t="default" r="1" i="4">
      <x v="51"/>
    </i>
    <i t="default">
      <x v="59"/>
    </i>
    <i t="default" i="1">
      <x v="59"/>
    </i>
    <i t="default" i="2">
      <x v="59"/>
    </i>
    <i t="default" i="3">
      <x v="59"/>
    </i>
    <i t="default" i="4">
      <x v="59"/>
    </i>
    <i>
      <x v="60"/>
    </i>
    <i r="1">
      <x v="50"/>
    </i>
    <i r="2">
      <x v="65"/>
    </i>
    <i r="3">
      <x v="21"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 v="21"/>
    </i>
    <i t="default" r="3" i="1">
      <x v="21"/>
    </i>
    <i t="default" r="3" i="2">
      <x v="21"/>
    </i>
    <i t="default" r="3" i="3">
      <x v="21"/>
    </i>
    <i t="default" r="3" i="4">
      <x v="21"/>
    </i>
    <i t="default" r="2">
      <x v="65"/>
    </i>
    <i t="default" r="2" i="1">
      <x v="65"/>
    </i>
    <i t="default" r="2" i="2">
      <x v="65"/>
    </i>
    <i t="default" r="2" i="3">
      <x v="65"/>
    </i>
    <i t="default" r="2" i="4">
      <x v="65"/>
    </i>
    <i t="default" r="1">
      <x v="50"/>
    </i>
    <i t="default" r="1" i="1">
      <x v="50"/>
    </i>
    <i t="default" r="1" i="2">
      <x v="50"/>
    </i>
    <i t="default" r="1" i="3">
      <x v="50"/>
    </i>
    <i t="default" r="1" i="4">
      <x v="50"/>
    </i>
    <i t="default">
      <x v="60"/>
    </i>
    <i t="default" i="1">
      <x v="60"/>
    </i>
    <i t="default" i="2">
      <x v="60"/>
    </i>
    <i t="default" i="3">
      <x v="60"/>
    </i>
    <i t="default" i="4">
      <x v="60"/>
    </i>
    <i>
      <x v="61"/>
    </i>
    <i r="1">
      <x v="44"/>
    </i>
    <i r="2">
      <x v="66"/>
    </i>
    <i r="3">
      <x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66"/>
    </i>
    <i t="default" r="2" i="1">
      <x v="66"/>
    </i>
    <i t="default" r="2" i="2">
      <x v="66"/>
    </i>
    <i t="default" r="2" i="3">
      <x v="66"/>
    </i>
    <i t="default" r="2" i="4">
      <x v="66"/>
    </i>
    <i t="default" r="1">
      <x v="44"/>
    </i>
    <i t="default" r="1" i="1">
      <x v="44"/>
    </i>
    <i t="default" r="1" i="2">
      <x v="44"/>
    </i>
    <i t="default" r="1" i="3">
      <x v="44"/>
    </i>
    <i t="default" r="1" i="4">
      <x v="44"/>
    </i>
    <i t="default">
      <x v="61"/>
    </i>
    <i t="default" i="1">
      <x v="61"/>
    </i>
    <i t="default" i="2">
      <x v="61"/>
    </i>
    <i t="default" i="3">
      <x v="61"/>
    </i>
    <i t="default" i="4">
      <x v="61"/>
    </i>
    <i>
      <x v="62"/>
    </i>
    <i r="1">
      <x v="47"/>
    </i>
    <i r="2">
      <x v="67"/>
    </i>
    <i r="3">
      <x/>
    </i>
    <i r="4">
      <x/>
    </i>
    <i r="5">
      <x/>
    </i>
    <i r="5" i="1">
      <x v="1"/>
    </i>
    <i r="5" i="2">
      <x v="2"/>
    </i>
    <i r="5" i="3">
      <x v="3"/>
    </i>
    <i r="5" i="4">
      <x v="4"/>
    </i>
    <i t="default" r="3">
      <x/>
    </i>
    <i t="default" r="3" i="1">
      <x/>
    </i>
    <i t="default" r="3" i="2">
      <x/>
    </i>
    <i t="default" r="3" i="3">
      <x/>
    </i>
    <i t="default" r="3" i="4">
      <x/>
    </i>
    <i t="default" r="2">
      <x v="67"/>
    </i>
    <i t="default" r="2" i="1">
      <x v="67"/>
    </i>
    <i t="default" r="2" i="2">
      <x v="67"/>
    </i>
    <i t="default" r="2" i="3">
      <x v="67"/>
    </i>
    <i t="default" r="2" i="4">
      <x v="67"/>
    </i>
    <i t="default" r="1">
      <x v="47"/>
    </i>
    <i t="default" r="1" i="1">
      <x v="47"/>
    </i>
    <i t="default" r="1" i="2">
      <x v="47"/>
    </i>
    <i t="default" r="1" i="3">
      <x v="47"/>
    </i>
    <i t="default" r="1" i="4">
      <x v="47"/>
    </i>
    <i t="default">
      <x v="62"/>
    </i>
    <i t="default" i="1">
      <x v="62"/>
    </i>
    <i t="default" i="2">
      <x v="62"/>
    </i>
    <i t="default" i="3">
      <x v="62"/>
    </i>
    <i t="default" i="4">
      <x v="62"/>
    </i>
    <i>
      <x v="63"/>
    </i>
    <i r="1">
      <x v="51"/>
    </i>
    <i r="2">
      <x/>
    </i>
    <i r="3">
      <x v="12"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 v="12"/>
    </i>
    <i t="default" r="3" i="1">
      <x v="12"/>
    </i>
    <i t="default" r="3" i="2">
      <x v="12"/>
    </i>
    <i t="default" r="3" i="3">
      <x v="12"/>
    </i>
    <i t="default" r="3" i="4">
      <x v="12"/>
    </i>
    <i r="3">
      <x v="15"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 v="15"/>
    </i>
    <i t="default" r="3" i="1">
      <x v="15"/>
    </i>
    <i t="default" r="3" i="2">
      <x v="15"/>
    </i>
    <i t="default" r="3" i="3">
      <x v="15"/>
    </i>
    <i t="default" r="3" i="4">
      <x v="15"/>
    </i>
    <i r="3">
      <x v="29"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 v="29"/>
    </i>
    <i t="default" r="3" i="1">
      <x v="29"/>
    </i>
    <i t="default" r="3" i="2">
      <x v="29"/>
    </i>
    <i t="default" r="3" i="3">
      <x v="29"/>
    </i>
    <i t="default" r="3" i="4">
      <x v="29"/>
    </i>
    <i t="default" r="2">
      <x/>
    </i>
    <i t="default" r="2" i="1">
      <x/>
    </i>
    <i t="default" r="2" i="2">
      <x/>
    </i>
    <i t="default" r="2" i="3">
      <x/>
    </i>
    <i t="default" r="2" i="4">
      <x/>
    </i>
    <i r="2">
      <x v="48"/>
    </i>
    <i r="3">
      <x v="29"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 v="29"/>
    </i>
    <i t="default" r="3" i="1">
      <x v="29"/>
    </i>
    <i t="default" r="3" i="2">
      <x v="29"/>
    </i>
    <i t="default" r="3" i="3">
      <x v="29"/>
    </i>
    <i t="default" r="3" i="4">
      <x v="29"/>
    </i>
    <i t="default" r="2">
      <x v="48"/>
    </i>
    <i t="default" r="2" i="1">
      <x v="48"/>
    </i>
    <i t="default" r="2" i="2">
      <x v="48"/>
    </i>
    <i t="default" r="2" i="3">
      <x v="48"/>
    </i>
    <i t="default" r="2" i="4">
      <x v="48"/>
    </i>
    <i r="2">
      <x v="50"/>
    </i>
    <i r="3">
      <x v="29"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 v="29"/>
    </i>
    <i t="default" r="3" i="1">
      <x v="29"/>
    </i>
    <i t="default" r="3" i="2">
      <x v="29"/>
    </i>
    <i t="default" r="3" i="3">
      <x v="29"/>
    </i>
    <i t="default" r="3" i="4">
      <x v="29"/>
    </i>
    <i t="default" r="2">
      <x v="50"/>
    </i>
    <i t="default" r="2" i="1">
      <x v="50"/>
    </i>
    <i t="default" r="2" i="2">
      <x v="50"/>
    </i>
    <i t="default" r="2" i="3">
      <x v="50"/>
    </i>
    <i t="default" r="2" i="4">
      <x v="50"/>
    </i>
    <i r="2">
      <x v="68"/>
    </i>
    <i r="3">
      <x v="29"/>
    </i>
    <i r="4">
      <x v="30"/>
    </i>
    <i r="5">
      <x/>
    </i>
    <i r="5" i="1">
      <x v="1"/>
    </i>
    <i r="5" i="2">
      <x v="2"/>
    </i>
    <i r="5" i="3">
      <x v="3"/>
    </i>
    <i r="5" i="4">
      <x v="4"/>
    </i>
    <i t="default" r="3">
      <x v="29"/>
    </i>
    <i t="default" r="3" i="1">
      <x v="29"/>
    </i>
    <i t="default" r="3" i="2">
      <x v="29"/>
    </i>
    <i t="default" r="3" i="3">
      <x v="29"/>
    </i>
    <i t="default" r="3" i="4">
      <x v="29"/>
    </i>
    <i t="default" r="2">
      <x v="68"/>
    </i>
    <i t="default" r="2" i="1">
      <x v="68"/>
    </i>
    <i t="default" r="2" i="2">
      <x v="68"/>
    </i>
    <i t="default" r="2" i="3">
      <x v="68"/>
    </i>
    <i t="default" r="2" i="4">
      <x v="68"/>
    </i>
    <i t="default" r="1">
      <x v="51"/>
    </i>
    <i t="default" r="1" i="1">
      <x v="51"/>
    </i>
    <i t="default" r="1" i="2">
      <x v="51"/>
    </i>
    <i t="default" r="1" i="3">
      <x v="51"/>
    </i>
    <i t="default" r="1" i="4">
      <x v="51"/>
    </i>
    <i t="default">
      <x v="63"/>
    </i>
    <i t="default" i="1">
      <x v="63"/>
    </i>
    <i t="default" i="2">
      <x v="63"/>
    </i>
    <i t="default" i="3">
      <x v="63"/>
    </i>
    <i t="default" i="4">
      <x v="63"/>
    </i>
    <i t="grand">
      <x/>
    </i>
    <i t="grand" i="1">
      <x/>
    </i>
    <i t="grand" i="2">
      <x/>
    </i>
    <i t="grand" i="3">
      <x/>
    </i>
    <i t="grand" i="4">
      <x/>
    </i>
  </rowItems>
  <colFields count="1">
    <field x="3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5">
    <dataField name="Somme de DEFISC " fld="197" baseField="197" baseItem="0"/>
    <dataField name="Somme de PRÊT 2" fld="201" baseField="197" baseItem="0"/>
    <dataField name="Somme de LBU " fld="208" baseField="197" baseItem="0"/>
    <dataField name="Somme de AUTRES SUBVENTIONS" fld="212" baseField="197" baseItem="0"/>
    <dataField name="Somme de FONDS PROPRES CONSTRUCTION" fld="227" baseField="197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2055"/>
  <sheetViews>
    <sheetView tabSelected="1" topLeftCell="A76" workbookViewId="0">
      <selection activeCell="E88" sqref="E88"/>
    </sheetView>
  </sheetViews>
  <sheetFormatPr baseColWidth="10" defaultRowHeight="15"/>
  <cols>
    <col min="1" max="1" width="57.28515625" bestFit="1" customWidth="1"/>
    <col min="2" max="2" width="23.85546875" bestFit="1" customWidth="1"/>
    <col min="3" max="3" width="10" bestFit="1" customWidth="1"/>
    <col min="4" max="6" width="12" bestFit="1" customWidth="1"/>
    <col min="7" max="7" width="11" bestFit="1" customWidth="1"/>
    <col min="8" max="9" width="12" bestFit="1" customWidth="1"/>
    <col min="10" max="10" width="9" bestFit="1" customWidth="1"/>
    <col min="11" max="12" width="5" bestFit="1" customWidth="1"/>
    <col min="13" max="13" width="6.28515625" bestFit="1" customWidth="1"/>
    <col min="14" max="14" width="12.5703125" bestFit="1" customWidth="1"/>
    <col min="15" max="15" width="31.28515625" customWidth="1"/>
    <col min="16" max="16" width="40.7109375" bestFit="1" customWidth="1"/>
    <col min="17" max="17" width="17.42578125" customWidth="1"/>
    <col min="18" max="18" width="16.7109375" customWidth="1"/>
    <col min="19" max="19" width="14.7109375" customWidth="1"/>
    <col min="20" max="20" width="31.28515625" customWidth="1"/>
    <col min="21" max="21" width="40.7109375" bestFit="1" customWidth="1"/>
    <col min="22" max="22" width="17.42578125" customWidth="1"/>
    <col min="23" max="23" width="16.7109375" customWidth="1"/>
    <col min="24" max="24" width="14.7109375" customWidth="1"/>
    <col min="25" max="25" width="31.28515625" customWidth="1"/>
    <col min="26" max="26" width="40.7109375" customWidth="1"/>
    <col min="27" max="27" width="17.42578125" customWidth="1"/>
    <col min="28" max="28" width="16.7109375" bestFit="1" customWidth="1"/>
    <col min="29" max="29" width="14.7109375" bestFit="1" customWidth="1"/>
    <col min="30" max="30" width="31.28515625" bestFit="1" customWidth="1"/>
    <col min="31" max="31" width="40.7109375" bestFit="1" customWidth="1"/>
    <col min="32" max="32" width="17.42578125" bestFit="1" customWidth="1"/>
    <col min="33" max="33" width="16.7109375" bestFit="1" customWidth="1"/>
    <col min="34" max="34" width="14.7109375" bestFit="1" customWidth="1"/>
    <col min="35" max="35" width="31.28515625" bestFit="1" customWidth="1"/>
    <col min="36" max="36" width="40.7109375" bestFit="1" customWidth="1"/>
    <col min="37" max="37" width="17.42578125" bestFit="1" customWidth="1"/>
    <col min="38" max="38" width="16.7109375" bestFit="1" customWidth="1"/>
    <col min="39" max="39" width="14.7109375" bestFit="1" customWidth="1"/>
    <col min="40" max="40" width="31.28515625" bestFit="1" customWidth="1"/>
    <col min="41" max="41" width="40.7109375" bestFit="1" customWidth="1"/>
    <col min="42" max="42" width="17.42578125" bestFit="1" customWidth="1"/>
    <col min="43" max="43" width="16.7109375" bestFit="1" customWidth="1"/>
    <col min="44" max="44" width="14.7109375" bestFit="1" customWidth="1"/>
    <col min="45" max="45" width="31.28515625" bestFit="1" customWidth="1"/>
    <col min="46" max="46" width="40.7109375" bestFit="1" customWidth="1"/>
    <col min="47" max="47" width="17.42578125" bestFit="1" customWidth="1"/>
    <col min="48" max="48" width="16.7109375" bestFit="1" customWidth="1"/>
    <col min="49" max="49" width="14.7109375" bestFit="1" customWidth="1"/>
    <col min="50" max="50" width="31.28515625" bestFit="1" customWidth="1"/>
    <col min="51" max="51" width="40.7109375" bestFit="1" customWidth="1"/>
    <col min="52" max="52" width="17.42578125" bestFit="1" customWidth="1"/>
    <col min="53" max="53" width="16.7109375" bestFit="1" customWidth="1"/>
    <col min="54" max="54" width="14.7109375" bestFit="1" customWidth="1"/>
    <col min="55" max="55" width="31.28515625" bestFit="1" customWidth="1"/>
    <col min="56" max="56" width="40.7109375" bestFit="1" customWidth="1"/>
    <col min="57" max="57" width="17.42578125" bestFit="1" customWidth="1"/>
    <col min="58" max="58" width="16.7109375" bestFit="1" customWidth="1"/>
    <col min="59" max="59" width="14.7109375" bestFit="1" customWidth="1"/>
    <col min="60" max="60" width="31.28515625" bestFit="1" customWidth="1"/>
    <col min="61" max="61" width="40.7109375" bestFit="1" customWidth="1"/>
    <col min="62" max="62" width="22.42578125" bestFit="1" customWidth="1"/>
    <col min="63" max="63" width="21.7109375" bestFit="1" customWidth="1"/>
    <col min="64" max="64" width="19.7109375" bestFit="1" customWidth="1"/>
    <col min="65" max="65" width="36.28515625" bestFit="1" customWidth="1"/>
    <col min="66" max="66" width="45.7109375" bestFit="1" customWidth="1"/>
  </cols>
  <sheetData>
    <row r="3" spans="1:14">
      <c r="B3" s="3" t="s">
        <v>99</v>
      </c>
    </row>
    <row r="4" spans="1:14">
      <c r="A4" s="3" t="s">
        <v>97</v>
      </c>
      <c r="B4">
        <v>2010</v>
      </c>
      <c r="C4">
        <v>2011</v>
      </c>
      <c r="D4">
        <v>2012</v>
      </c>
      <c r="E4">
        <v>2013</v>
      </c>
      <c r="F4">
        <v>2014</v>
      </c>
      <c r="G4">
        <v>2015</v>
      </c>
      <c r="H4">
        <v>2016</v>
      </c>
      <c r="I4">
        <v>2017</v>
      </c>
      <c r="J4">
        <v>2018</v>
      </c>
      <c r="K4">
        <v>2019</v>
      </c>
      <c r="L4">
        <v>2021</v>
      </c>
      <c r="M4" t="s">
        <v>733</v>
      </c>
      <c r="N4" t="s">
        <v>98</v>
      </c>
    </row>
    <row r="5" spans="1:14">
      <c r="A5" s="4">
        <v>0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</row>
    <row r="6" spans="1:14">
      <c r="A6" s="19">
        <v>620464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>
      <c r="A7" s="347">
        <v>1285412</v>
      </c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</row>
    <row r="8" spans="1:14">
      <c r="A8" s="489">
        <v>1120</v>
      </c>
      <c r="B8" s="18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</row>
    <row r="9" spans="1:14">
      <c r="A9" s="753">
        <v>253357.88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</row>
    <row r="10" spans="1:14">
      <c r="A10" s="754" t="s">
        <v>898</v>
      </c>
      <c r="B10" s="18"/>
      <c r="C10" s="18">
        <v>0</v>
      </c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>
        <v>0</v>
      </c>
    </row>
    <row r="11" spans="1:14">
      <c r="A11" s="754" t="s">
        <v>901</v>
      </c>
      <c r="B11" s="18"/>
      <c r="C11" s="18">
        <v>1285412</v>
      </c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>
        <v>1285412</v>
      </c>
    </row>
    <row r="12" spans="1:14">
      <c r="A12" s="754" t="s">
        <v>903</v>
      </c>
      <c r="B12" s="18"/>
      <c r="C12" s="18">
        <v>620464</v>
      </c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>
        <v>620464</v>
      </c>
    </row>
    <row r="13" spans="1:14">
      <c r="A13" s="754" t="s">
        <v>905</v>
      </c>
      <c r="B13" s="18"/>
      <c r="C13" s="18">
        <v>1120</v>
      </c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>
        <v>1120</v>
      </c>
    </row>
    <row r="14" spans="1:14">
      <c r="A14" s="754" t="s">
        <v>174</v>
      </c>
      <c r="B14" s="18"/>
      <c r="C14" s="18">
        <v>253357.88</v>
      </c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>
        <v>253357.88</v>
      </c>
    </row>
    <row r="15" spans="1:14">
      <c r="A15" s="489" t="s">
        <v>1747</v>
      </c>
      <c r="B15" s="18"/>
      <c r="C15" s="18">
        <v>0</v>
      </c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>
        <v>0</v>
      </c>
    </row>
    <row r="16" spans="1:14">
      <c r="A16" s="489" t="s">
        <v>1537</v>
      </c>
      <c r="B16" s="18"/>
      <c r="C16" s="18">
        <v>1285412</v>
      </c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>
        <v>1285412</v>
      </c>
    </row>
    <row r="17" spans="1:14">
      <c r="A17" s="489" t="s">
        <v>1327</v>
      </c>
      <c r="B17" s="18"/>
      <c r="C17" s="18">
        <v>620464</v>
      </c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>
        <v>620464</v>
      </c>
    </row>
    <row r="18" spans="1:14">
      <c r="A18" s="489" t="s">
        <v>1117</v>
      </c>
      <c r="B18" s="18"/>
      <c r="C18" s="18">
        <v>1120</v>
      </c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>
        <v>1120</v>
      </c>
    </row>
    <row r="19" spans="1:14">
      <c r="A19" s="489" t="s">
        <v>907</v>
      </c>
      <c r="B19" s="18"/>
      <c r="C19" s="18">
        <v>253357.88</v>
      </c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>
        <v>253357.88</v>
      </c>
    </row>
    <row r="20" spans="1:14">
      <c r="A20" s="347" t="s">
        <v>1748</v>
      </c>
      <c r="B20" s="18"/>
      <c r="C20" s="18">
        <v>0</v>
      </c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>
        <v>0</v>
      </c>
    </row>
    <row r="21" spans="1:14">
      <c r="A21" s="347" t="s">
        <v>1538</v>
      </c>
      <c r="B21" s="18"/>
      <c r="C21" s="18">
        <v>1285412</v>
      </c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>
        <v>1285412</v>
      </c>
    </row>
    <row r="22" spans="1:14">
      <c r="A22" s="347" t="s">
        <v>1328</v>
      </c>
      <c r="B22" s="18"/>
      <c r="C22" s="18">
        <v>620464</v>
      </c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>
        <v>620464</v>
      </c>
    </row>
    <row r="23" spans="1:14">
      <c r="A23" s="347" t="s">
        <v>1118</v>
      </c>
      <c r="B23" s="18"/>
      <c r="C23" s="18">
        <v>1120</v>
      </c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>
        <v>1120</v>
      </c>
    </row>
    <row r="24" spans="1:14">
      <c r="A24" s="347" t="s">
        <v>908</v>
      </c>
      <c r="B24" s="18"/>
      <c r="C24" s="18">
        <v>253357.88</v>
      </c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>
        <v>253357.88</v>
      </c>
    </row>
    <row r="25" spans="1:14">
      <c r="A25" s="19" t="s">
        <v>1749</v>
      </c>
      <c r="B25" s="18"/>
      <c r="C25" s="18">
        <v>0</v>
      </c>
      <c r="D25" s="18"/>
      <c r="E25" s="18"/>
      <c r="F25" s="18"/>
      <c r="G25" s="18"/>
      <c r="H25" s="18"/>
      <c r="I25" s="18"/>
      <c r="J25" s="18"/>
      <c r="K25" s="18"/>
      <c r="L25" s="18"/>
      <c r="M25" s="18"/>
      <c r="N25" s="18">
        <v>0</v>
      </c>
    </row>
    <row r="26" spans="1:14">
      <c r="A26" s="19" t="s">
        <v>1539</v>
      </c>
      <c r="B26" s="18"/>
      <c r="C26" s="18">
        <v>1285412</v>
      </c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>
        <v>1285412</v>
      </c>
    </row>
    <row r="27" spans="1:14">
      <c r="A27" s="19" t="s">
        <v>1329</v>
      </c>
      <c r="B27" s="18"/>
      <c r="C27" s="18">
        <v>620464</v>
      </c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>
        <v>620464</v>
      </c>
    </row>
    <row r="28" spans="1:14">
      <c r="A28" s="19" t="s">
        <v>1119</v>
      </c>
      <c r="B28" s="18"/>
      <c r="C28" s="18">
        <v>1120</v>
      </c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>
        <v>1120</v>
      </c>
    </row>
    <row r="29" spans="1:14">
      <c r="A29" s="19" t="s">
        <v>909</v>
      </c>
      <c r="B29" s="18"/>
      <c r="C29" s="18">
        <v>253357.88</v>
      </c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>
        <v>253357.88</v>
      </c>
    </row>
    <row r="30" spans="1:14">
      <c r="A30" s="19">
        <v>1267528</v>
      </c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</row>
    <row r="31" spans="1:14">
      <c r="A31" s="347">
        <v>2306000</v>
      </c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</row>
    <row r="32" spans="1:14">
      <c r="A32" s="489" t="s">
        <v>733</v>
      </c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</row>
    <row r="33" spans="1:14">
      <c r="A33" s="753">
        <v>1409</v>
      </c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</row>
    <row r="34" spans="1:14">
      <c r="A34" s="754" t="s">
        <v>898</v>
      </c>
      <c r="B34" s="18">
        <v>0</v>
      </c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>
        <v>0</v>
      </c>
    </row>
    <row r="35" spans="1:14">
      <c r="A35" s="754" t="s">
        <v>901</v>
      </c>
      <c r="B35" s="18">
        <v>2306000</v>
      </c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>
        <v>2306000</v>
      </c>
    </row>
    <row r="36" spans="1:14">
      <c r="A36" s="754" t="s">
        <v>903</v>
      </c>
      <c r="B36" s="18">
        <v>1267528</v>
      </c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>
        <v>1267528</v>
      </c>
    </row>
    <row r="37" spans="1:14">
      <c r="A37" s="754" t="s">
        <v>905</v>
      </c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</row>
    <row r="38" spans="1:14">
      <c r="A38" s="754" t="s">
        <v>174</v>
      </c>
      <c r="B38" s="18">
        <v>1409</v>
      </c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>
        <v>1409</v>
      </c>
    </row>
    <row r="39" spans="1:14">
      <c r="A39" s="489" t="s">
        <v>1750</v>
      </c>
      <c r="B39" s="18">
        <v>0</v>
      </c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>
        <v>0</v>
      </c>
    </row>
    <row r="40" spans="1:14">
      <c r="A40" s="489" t="s">
        <v>1540</v>
      </c>
      <c r="B40" s="18">
        <v>2306000</v>
      </c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>
        <v>2306000</v>
      </c>
    </row>
    <row r="41" spans="1:14">
      <c r="A41" s="489" t="s">
        <v>1330</v>
      </c>
      <c r="B41" s="18">
        <v>1267528</v>
      </c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>
        <v>1267528</v>
      </c>
    </row>
    <row r="42" spans="1:14">
      <c r="A42" s="489" t="s">
        <v>1120</v>
      </c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</row>
    <row r="43" spans="1:14">
      <c r="A43" s="489" t="s">
        <v>910</v>
      </c>
      <c r="B43" s="18">
        <v>1409</v>
      </c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>
        <v>1409</v>
      </c>
    </row>
    <row r="44" spans="1:14">
      <c r="A44" s="347" t="s">
        <v>1751</v>
      </c>
      <c r="B44" s="18">
        <v>0</v>
      </c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>
        <v>0</v>
      </c>
    </row>
    <row r="45" spans="1:14">
      <c r="A45" s="347" t="s">
        <v>1541</v>
      </c>
      <c r="B45" s="18">
        <v>2306000</v>
      </c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>
        <v>2306000</v>
      </c>
    </row>
    <row r="46" spans="1:14">
      <c r="A46" s="347" t="s">
        <v>1331</v>
      </c>
      <c r="B46" s="18">
        <v>1267528</v>
      </c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>
        <v>1267528</v>
      </c>
    </row>
    <row r="47" spans="1:14">
      <c r="A47" s="347" t="s">
        <v>1121</v>
      </c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</row>
    <row r="48" spans="1:14">
      <c r="A48" s="347" t="s">
        <v>911</v>
      </c>
      <c r="B48" s="18">
        <v>1409</v>
      </c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>
        <v>1409</v>
      </c>
    </row>
    <row r="49" spans="1:14">
      <c r="A49" s="19" t="s">
        <v>1752</v>
      </c>
      <c r="B49" s="18">
        <v>0</v>
      </c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>
        <v>0</v>
      </c>
    </row>
    <row r="50" spans="1:14">
      <c r="A50" s="19" t="s">
        <v>1542</v>
      </c>
      <c r="B50" s="18">
        <v>2306000</v>
      </c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>
        <v>2306000</v>
      </c>
    </row>
    <row r="51" spans="1:14">
      <c r="A51" s="19" t="s">
        <v>1332</v>
      </c>
      <c r="B51" s="18">
        <v>1267528</v>
      </c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>
        <v>1267528</v>
      </c>
    </row>
    <row r="52" spans="1:14">
      <c r="A52" s="19" t="s">
        <v>1122</v>
      </c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</row>
    <row r="53" spans="1:14">
      <c r="A53" s="19" t="s">
        <v>912</v>
      </c>
      <c r="B53" s="18">
        <v>1409</v>
      </c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>
        <v>1409</v>
      </c>
    </row>
    <row r="54" spans="1:14">
      <c r="A54" s="19">
        <v>1359605</v>
      </c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</row>
    <row r="55" spans="1:14">
      <c r="A55" s="347">
        <v>2481000</v>
      </c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</row>
    <row r="56" spans="1:14">
      <c r="A56" s="489" t="s">
        <v>733</v>
      </c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</row>
    <row r="57" spans="1:14">
      <c r="A57" s="753">
        <v>70784</v>
      </c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</row>
    <row r="58" spans="1:14">
      <c r="A58" s="754" t="s">
        <v>898</v>
      </c>
      <c r="B58" s="18">
        <v>0</v>
      </c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>
        <v>0</v>
      </c>
    </row>
    <row r="59" spans="1:14">
      <c r="A59" s="754" t="s">
        <v>901</v>
      </c>
      <c r="B59" s="18">
        <v>2481000</v>
      </c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>
        <v>2481000</v>
      </c>
    </row>
    <row r="60" spans="1:14">
      <c r="A60" s="754" t="s">
        <v>903</v>
      </c>
      <c r="B60" s="18">
        <v>1359605</v>
      </c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>
        <v>1359605</v>
      </c>
    </row>
    <row r="61" spans="1:14">
      <c r="A61" s="754" t="s">
        <v>905</v>
      </c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</row>
    <row r="62" spans="1:14">
      <c r="A62" s="754" t="s">
        <v>174</v>
      </c>
      <c r="B62" s="18">
        <v>70784</v>
      </c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>
        <v>70784</v>
      </c>
    </row>
    <row r="63" spans="1:14">
      <c r="A63" s="489" t="s">
        <v>1750</v>
      </c>
      <c r="B63" s="18">
        <v>0</v>
      </c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>
        <v>0</v>
      </c>
    </row>
    <row r="64" spans="1:14">
      <c r="A64" s="489" t="s">
        <v>1540</v>
      </c>
      <c r="B64" s="18">
        <v>2481000</v>
      </c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>
        <v>2481000</v>
      </c>
    </row>
    <row r="65" spans="1:14">
      <c r="A65" s="489" t="s">
        <v>1330</v>
      </c>
      <c r="B65" s="18">
        <v>1359605</v>
      </c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>
        <v>1359605</v>
      </c>
    </row>
    <row r="66" spans="1:14">
      <c r="A66" s="489" t="s">
        <v>1120</v>
      </c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</row>
    <row r="67" spans="1:14">
      <c r="A67" s="489" t="s">
        <v>910</v>
      </c>
      <c r="B67" s="18">
        <v>70784</v>
      </c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>
        <v>70784</v>
      </c>
    </row>
    <row r="68" spans="1:14">
      <c r="A68" s="347" t="s">
        <v>1753</v>
      </c>
      <c r="B68" s="18">
        <v>0</v>
      </c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>
        <v>0</v>
      </c>
    </row>
    <row r="69" spans="1:14">
      <c r="A69" s="347" t="s">
        <v>1543</v>
      </c>
      <c r="B69" s="18">
        <v>2481000</v>
      </c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>
        <v>2481000</v>
      </c>
    </row>
    <row r="70" spans="1:14">
      <c r="A70" s="347" t="s">
        <v>1333</v>
      </c>
      <c r="B70" s="18">
        <v>1359605</v>
      </c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>
        <v>1359605</v>
      </c>
    </row>
    <row r="71" spans="1:14">
      <c r="A71" s="347" t="s">
        <v>1123</v>
      </c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</row>
    <row r="72" spans="1:14">
      <c r="A72" s="347" t="s">
        <v>913</v>
      </c>
      <c r="B72" s="18">
        <v>70784</v>
      </c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>
        <v>70784</v>
      </c>
    </row>
    <row r="73" spans="1:14">
      <c r="A73" s="19" t="s">
        <v>1754</v>
      </c>
      <c r="B73" s="18">
        <v>0</v>
      </c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>
        <v>0</v>
      </c>
    </row>
    <row r="74" spans="1:14">
      <c r="A74" s="19" t="s">
        <v>1544</v>
      </c>
      <c r="B74" s="18">
        <v>2481000</v>
      </c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>
        <v>2481000</v>
      </c>
    </row>
    <row r="75" spans="1:14">
      <c r="A75" s="19" t="s">
        <v>1334</v>
      </c>
      <c r="B75" s="18">
        <v>1359605</v>
      </c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>
        <v>1359605</v>
      </c>
    </row>
    <row r="76" spans="1:14">
      <c r="A76" s="19" t="s">
        <v>1124</v>
      </c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</row>
    <row r="77" spans="1:14">
      <c r="A77" s="19" t="s">
        <v>914</v>
      </c>
      <c r="B77" s="18">
        <v>70784</v>
      </c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>
        <v>70784</v>
      </c>
    </row>
    <row r="78" spans="1:14">
      <c r="A78" s="4" t="s">
        <v>1755</v>
      </c>
      <c r="B78" s="18">
        <v>0</v>
      </c>
      <c r="C78" s="18">
        <v>0</v>
      </c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>
        <v>0</v>
      </c>
    </row>
    <row r="79" spans="1:14">
      <c r="A79" s="4" t="s">
        <v>1545</v>
      </c>
      <c r="B79" s="18">
        <v>4787000</v>
      </c>
      <c r="C79" s="18">
        <v>1285412</v>
      </c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>
        <v>6072412</v>
      </c>
    </row>
    <row r="80" spans="1:14">
      <c r="A80" s="4" t="s">
        <v>1335</v>
      </c>
      <c r="B80" s="18">
        <v>2627133</v>
      </c>
      <c r="C80" s="18">
        <v>620464</v>
      </c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>
        <v>3247597</v>
      </c>
    </row>
    <row r="81" spans="1:14">
      <c r="A81" s="4" t="s">
        <v>1125</v>
      </c>
      <c r="B81" s="18"/>
      <c r="C81" s="18">
        <v>1120</v>
      </c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>
        <v>1120</v>
      </c>
    </row>
    <row r="82" spans="1:14">
      <c r="A82" s="4" t="s">
        <v>915</v>
      </c>
      <c r="B82" s="18">
        <v>72193</v>
      </c>
      <c r="C82" s="18">
        <v>253357.88</v>
      </c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>
        <v>325550.88</v>
      </c>
    </row>
    <row r="83" spans="1:14">
      <c r="A83" s="4">
        <v>75000</v>
      </c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</row>
    <row r="84" spans="1:14">
      <c r="A84" s="19">
        <v>119398</v>
      </c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</row>
    <row r="85" spans="1:14">
      <c r="A85" s="347">
        <v>335412</v>
      </c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</row>
    <row r="86" spans="1:14">
      <c r="A86" s="489">
        <v>12327</v>
      </c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</row>
    <row r="87" spans="1:14">
      <c r="A87" s="753">
        <v>0</v>
      </c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</row>
    <row r="88" spans="1:14">
      <c r="A88" s="754" t="s">
        <v>898</v>
      </c>
      <c r="B88" s="18"/>
      <c r="C88" s="18">
        <v>75000</v>
      </c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>
        <v>75000</v>
      </c>
    </row>
    <row r="89" spans="1:14">
      <c r="A89" s="754" t="s">
        <v>901</v>
      </c>
      <c r="B89" s="18"/>
      <c r="C89" s="18">
        <v>335412</v>
      </c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>
        <v>335412</v>
      </c>
    </row>
    <row r="90" spans="1:14">
      <c r="A90" s="754" t="s">
        <v>903</v>
      </c>
      <c r="B90" s="18"/>
      <c r="C90" s="18">
        <v>119398</v>
      </c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>
        <v>119398</v>
      </c>
    </row>
    <row r="91" spans="1:14">
      <c r="A91" s="754" t="s">
        <v>905</v>
      </c>
      <c r="B91" s="18"/>
      <c r="C91" s="18">
        <v>12327</v>
      </c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>
        <v>12327</v>
      </c>
    </row>
    <row r="92" spans="1:14">
      <c r="A92" s="754" t="s">
        <v>174</v>
      </c>
      <c r="B92" s="18"/>
      <c r="C92" s="18">
        <v>0</v>
      </c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>
        <v>0</v>
      </c>
    </row>
    <row r="93" spans="1:14">
      <c r="A93" s="489" t="s">
        <v>1756</v>
      </c>
      <c r="B93" s="18"/>
      <c r="C93" s="18">
        <v>75000</v>
      </c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>
        <v>75000</v>
      </c>
    </row>
    <row r="94" spans="1:14">
      <c r="A94" s="489" t="s">
        <v>1546</v>
      </c>
      <c r="B94" s="18"/>
      <c r="C94" s="18">
        <v>335412</v>
      </c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>
        <v>335412</v>
      </c>
    </row>
    <row r="95" spans="1:14">
      <c r="A95" s="489" t="s">
        <v>1336</v>
      </c>
      <c r="B95" s="18"/>
      <c r="C95" s="18">
        <v>119398</v>
      </c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>
        <v>119398</v>
      </c>
    </row>
    <row r="96" spans="1:14">
      <c r="A96" s="489" t="s">
        <v>1126</v>
      </c>
      <c r="B96" s="18"/>
      <c r="C96" s="18">
        <v>12327</v>
      </c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>
        <v>12327</v>
      </c>
    </row>
    <row r="97" spans="1:14">
      <c r="A97" s="489" t="s">
        <v>916</v>
      </c>
      <c r="B97" s="18"/>
      <c r="C97" s="18">
        <v>0</v>
      </c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>
        <v>0</v>
      </c>
    </row>
    <row r="98" spans="1:14">
      <c r="A98" s="347" t="s">
        <v>1757</v>
      </c>
      <c r="B98" s="18"/>
      <c r="C98" s="18">
        <v>75000</v>
      </c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>
        <v>75000</v>
      </c>
    </row>
    <row r="99" spans="1:14">
      <c r="A99" s="347" t="s">
        <v>1547</v>
      </c>
      <c r="B99" s="18"/>
      <c r="C99" s="18">
        <v>335412</v>
      </c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>
        <v>335412</v>
      </c>
    </row>
    <row r="100" spans="1:14">
      <c r="A100" s="347" t="s">
        <v>1337</v>
      </c>
      <c r="B100" s="18"/>
      <c r="C100" s="18">
        <v>119398</v>
      </c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>
        <v>119398</v>
      </c>
    </row>
    <row r="101" spans="1:14">
      <c r="A101" s="347" t="s">
        <v>1127</v>
      </c>
      <c r="B101" s="18"/>
      <c r="C101" s="18">
        <v>12327</v>
      </c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>
        <v>12327</v>
      </c>
    </row>
    <row r="102" spans="1:14">
      <c r="A102" s="347" t="s">
        <v>917</v>
      </c>
      <c r="B102" s="18"/>
      <c r="C102" s="18">
        <v>0</v>
      </c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>
        <v>0</v>
      </c>
    </row>
    <row r="103" spans="1:14">
      <c r="A103" s="19" t="s">
        <v>1758</v>
      </c>
      <c r="B103" s="18"/>
      <c r="C103" s="18">
        <v>75000</v>
      </c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>
        <v>75000</v>
      </c>
    </row>
    <row r="104" spans="1:14">
      <c r="A104" s="19" t="s">
        <v>1548</v>
      </c>
      <c r="B104" s="18"/>
      <c r="C104" s="18">
        <v>335412</v>
      </c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>
        <v>335412</v>
      </c>
    </row>
    <row r="105" spans="1:14">
      <c r="A105" s="19" t="s">
        <v>1338</v>
      </c>
      <c r="B105" s="18"/>
      <c r="C105" s="18">
        <v>119398</v>
      </c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>
        <v>119398</v>
      </c>
    </row>
    <row r="106" spans="1:14">
      <c r="A106" s="19" t="s">
        <v>1128</v>
      </c>
      <c r="B106" s="18"/>
      <c r="C106" s="18">
        <v>12327</v>
      </c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>
        <v>12327</v>
      </c>
    </row>
    <row r="107" spans="1:14">
      <c r="A107" s="19" t="s">
        <v>918</v>
      </c>
      <c r="B107" s="18"/>
      <c r="C107" s="18">
        <v>0</v>
      </c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>
        <v>0</v>
      </c>
    </row>
    <row r="108" spans="1:14">
      <c r="A108" s="4" t="s">
        <v>1759</v>
      </c>
      <c r="B108" s="18"/>
      <c r="C108" s="18">
        <v>75000</v>
      </c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>
        <v>75000</v>
      </c>
    </row>
    <row r="109" spans="1:14">
      <c r="A109" s="4" t="s">
        <v>1549</v>
      </c>
      <c r="B109" s="18"/>
      <c r="C109" s="18">
        <v>335412</v>
      </c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>
        <v>335412</v>
      </c>
    </row>
    <row r="110" spans="1:14">
      <c r="A110" s="4" t="s">
        <v>1339</v>
      </c>
      <c r="B110" s="18"/>
      <c r="C110" s="18">
        <v>119398</v>
      </c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>
        <v>119398</v>
      </c>
    </row>
    <row r="111" spans="1:14">
      <c r="A111" s="4" t="s">
        <v>1129</v>
      </c>
      <c r="B111" s="18"/>
      <c r="C111" s="18">
        <v>12327</v>
      </c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>
        <v>12327</v>
      </c>
    </row>
    <row r="112" spans="1:14">
      <c r="A112" s="4" t="s">
        <v>919</v>
      </c>
      <c r="B112" s="18"/>
      <c r="C112" s="18">
        <v>0</v>
      </c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>
        <v>0</v>
      </c>
    </row>
    <row r="113" spans="1:14">
      <c r="A113" s="4">
        <v>294297</v>
      </c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</row>
    <row r="114" spans="1:14">
      <c r="A114" s="19">
        <v>177688</v>
      </c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</row>
    <row r="115" spans="1:14">
      <c r="A115" s="347">
        <v>604971</v>
      </c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</row>
    <row r="116" spans="1:14">
      <c r="A116" s="489">
        <v>0</v>
      </c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</row>
    <row r="117" spans="1:14">
      <c r="A117" s="753">
        <v>50607</v>
      </c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</row>
    <row r="118" spans="1:14">
      <c r="A118" s="754" t="s">
        <v>898</v>
      </c>
      <c r="B118" s="18"/>
      <c r="C118" s="18"/>
      <c r="D118" s="18">
        <v>294297</v>
      </c>
      <c r="E118" s="18"/>
      <c r="F118" s="18"/>
      <c r="G118" s="18"/>
      <c r="H118" s="18"/>
      <c r="I118" s="18"/>
      <c r="J118" s="18"/>
      <c r="K118" s="18"/>
      <c r="L118" s="18"/>
      <c r="M118" s="18"/>
      <c r="N118" s="18">
        <v>294297</v>
      </c>
    </row>
    <row r="119" spans="1:14">
      <c r="A119" s="754" t="s">
        <v>901</v>
      </c>
      <c r="B119" s="18"/>
      <c r="C119" s="18"/>
      <c r="D119" s="18">
        <v>604971</v>
      </c>
      <c r="E119" s="18"/>
      <c r="F119" s="18"/>
      <c r="G119" s="18"/>
      <c r="H119" s="18"/>
      <c r="I119" s="18"/>
      <c r="J119" s="18"/>
      <c r="K119" s="18"/>
      <c r="L119" s="18"/>
      <c r="M119" s="18"/>
      <c r="N119" s="18">
        <v>604971</v>
      </c>
    </row>
    <row r="120" spans="1:14">
      <c r="A120" s="754" t="s">
        <v>903</v>
      </c>
      <c r="B120" s="18"/>
      <c r="C120" s="18"/>
      <c r="D120" s="18">
        <v>177688</v>
      </c>
      <c r="E120" s="18"/>
      <c r="F120" s="18"/>
      <c r="G120" s="18"/>
      <c r="H120" s="18"/>
      <c r="I120" s="18"/>
      <c r="J120" s="18"/>
      <c r="K120" s="18"/>
      <c r="L120" s="18"/>
      <c r="M120" s="18"/>
      <c r="N120" s="18">
        <v>177688</v>
      </c>
    </row>
    <row r="121" spans="1:14">
      <c r="A121" s="754" t="s">
        <v>905</v>
      </c>
      <c r="B121" s="18"/>
      <c r="C121" s="18"/>
      <c r="D121" s="18">
        <v>0</v>
      </c>
      <c r="E121" s="18"/>
      <c r="F121" s="18"/>
      <c r="G121" s="18"/>
      <c r="H121" s="18"/>
      <c r="I121" s="18"/>
      <c r="J121" s="18"/>
      <c r="K121" s="18"/>
      <c r="L121" s="18"/>
      <c r="M121" s="18"/>
      <c r="N121" s="18">
        <v>0</v>
      </c>
    </row>
    <row r="122" spans="1:14">
      <c r="A122" s="754" t="s">
        <v>174</v>
      </c>
      <c r="B122" s="18"/>
      <c r="C122" s="18"/>
      <c r="D122" s="18">
        <v>50607</v>
      </c>
      <c r="E122" s="18"/>
      <c r="F122" s="18"/>
      <c r="G122" s="18"/>
      <c r="H122" s="18"/>
      <c r="I122" s="18"/>
      <c r="J122" s="18"/>
      <c r="K122" s="18"/>
      <c r="L122" s="18"/>
      <c r="M122" s="18"/>
      <c r="N122" s="18">
        <v>50607</v>
      </c>
    </row>
    <row r="123" spans="1:14">
      <c r="A123" s="489" t="s">
        <v>1755</v>
      </c>
      <c r="B123" s="18"/>
      <c r="C123" s="18"/>
      <c r="D123" s="18">
        <v>294297</v>
      </c>
      <c r="E123" s="18"/>
      <c r="F123" s="18"/>
      <c r="G123" s="18"/>
      <c r="H123" s="18"/>
      <c r="I123" s="18"/>
      <c r="J123" s="18"/>
      <c r="K123" s="18"/>
      <c r="L123" s="18"/>
      <c r="M123" s="18"/>
      <c r="N123" s="18">
        <v>294297</v>
      </c>
    </row>
    <row r="124" spans="1:14">
      <c r="A124" s="489" t="s">
        <v>1545</v>
      </c>
      <c r="B124" s="18"/>
      <c r="C124" s="18"/>
      <c r="D124" s="18">
        <v>604971</v>
      </c>
      <c r="E124" s="18"/>
      <c r="F124" s="18"/>
      <c r="G124" s="18"/>
      <c r="H124" s="18"/>
      <c r="I124" s="18"/>
      <c r="J124" s="18"/>
      <c r="K124" s="18"/>
      <c r="L124" s="18"/>
      <c r="M124" s="18"/>
      <c r="N124" s="18">
        <v>604971</v>
      </c>
    </row>
    <row r="125" spans="1:14">
      <c r="A125" s="489" t="s">
        <v>1335</v>
      </c>
      <c r="B125" s="18"/>
      <c r="C125" s="18"/>
      <c r="D125" s="18">
        <v>177688</v>
      </c>
      <c r="E125" s="18"/>
      <c r="F125" s="18"/>
      <c r="G125" s="18"/>
      <c r="H125" s="18"/>
      <c r="I125" s="18"/>
      <c r="J125" s="18"/>
      <c r="K125" s="18"/>
      <c r="L125" s="18"/>
      <c r="M125" s="18"/>
      <c r="N125" s="18">
        <v>177688</v>
      </c>
    </row>
    <row r="126" spans="1:14">
      <c r="A126" s="489" t="s">
        <v>1125</v>
      </c>
      <c r="B126" s="18"/>
      <c r="C126" s="18"/>
      <c r="D126" s="18">
        <v>0</v>
      </c>
      <c r="E126" s="18"/>
      <c r="F126" s="18"/>
      <c r="G126" s="18"/>
      <c r="H126" s="18"/>
      <c r="I126" s="18"/>
      <c r="J126" s="18"/>
      <c r="K126" s="18"/>
      <c r="L126" s="18"/>
      <c r="M126" s="18"/>
      <c r="N126" s="18">
        <v>0</v>
      </c>
    </row>
    <row r="127" spans="1:14">
      <c r="A127" s="489" t="s">
        <v>915</v>
      </c>
      <c r="B127" s="18"/>
      <c r="C127" s="18"/>
      <c r="D127" s="18">
        <v>50607</v>
      </c>
      <c r="E127" s="18"/>
      <c r="F127" s="18"/>
      <c r="G127" s="18"/>
      <c r="H127" s="18"/>
      <c r="I127" s="18"/>
      <c r="J127" s="18"/>
      <c r="K127" s="18"/>
      <c r="L127" s="18"/>
      <c r="M127" s="18"/>
      <c r="N127" s="18">
        <v>50607</v>
      </c>
    </row>
    <row r="128" spans="1:14">
      <c r="A128" s="347" t="s">
        <v>1760</v>
      </c>
      <c r="B128" s="18"/>
      <c r="C128" s="18"/>
      <c r="D128" s="18">
        <v>294297</v>
      </c>
      <c r="E128" s="18"/>
      <c r="F128" s="18"/>
      <c r="G128" s="18"/>
      <c r="H128" s="18"/>
      <c r="I128" s="18"/>
      <c r="J128" s="18"/>
      <c r="K128" s="18"/>
      <c r="L128" s="18"/>
      <c r="M128" s="18"/>
      <c r="N128" s="18">
        <v>294297</v>
      </c>
    </row>
    <row r="129" spans="1:14">
      <c r="A129" s="347" t="s">
        <v>1550</v>
      </c>
      <c r="B129" s="18"/>
      <c r="C129" s="18"/>
      <c r="D129" s="18">
        <v>604971</v>
      </c>
      <c r="E129" s="18"/>
      <c r="F129" s="18"/>
      <c r="G129" s="18"/>
      <c r="H129" s="18"/>
      <c r="I129" s="18"/>
      <c r="J129" s="18"/>
      <c r="K129" s="18"/>
      <c r="L129" s="18"/>
      <c r="M129" s="18"/>
      <c r="N129" s="18">
        <v>604971</v>
      </c>
    </row>
    <row r="130" spans="1:14">
      <c r="A130" s="347" t="s">
        <v>1340</v>
      </c>
      <c r="B130" s="18"/>
      <c r="C130" s="18"/>
      <c r="D130" s="18">
        <v>177688</v>
      </c>
      <c r="E130" s="18"/>
      <c r="F130" s="18"/>
      <c r="G130" s="18"/>
      <c r="H130" s="18"/>
      <c r="I130" s="18"/>
      <c r="J130" s="18"/>
      <c r="K130" s="18"/>
      <c r="L130" s="18"/>
      <c r="M130" s="18"/>
      <c r="N130" s="18">
        <v>177688</v>
      </c>
    </row>
    <row r="131" spans="1:14">
      <c r="A131" s="347" t="s">
        <v>1130</v>
      </c>
      <c r="B131" s="18"/>
      <c r="C131" s="18"/>
      <c r="D131" s="18">
        <v>0</v>
      </c>
      <c r="E131" s="18"/>
      <c r="F131" s="18"/>
      <c r="G131" s="18"/>
      <c r="H131" s="18"/>
      <c r="I131" s="18"/>
      <c r="J131" s="18"/>
      <c r="K131" s="18"/>
      <c r="L131" s="18"/>
      <c r="M131" s="18"/>
      <c r="N131" s="18">
        <v>0</v>
      </c>
    </row>
    <row r="132" spans="1:14">
      <c r="A132" s="347" t="s">
        <v>920</v>
      </c>
      <c r="B132" s="18"/>
      <c r="C132" s="18"/>
      <c r="D132" s="18">
        <v>50607</v>
      </c>
      <c r="E132" s="18"/>
      <c r="F132" s="18"/>
      <c r="G132" s="18"/>
      <c r="H132" s="18"/>
      <c r="I132" s="18"/>
      <c r="J132" s="18"/>
      <c r="K132" s="18"/>
      <c r="L132" s="18"/>
      <c r="M132" s="18"/>
      <c r="N132" s="18">
        <v>50607</v>
      </c>
    </row>
    <row r="133" spans="1:14">
      <c r="A133" s="19" t="s">
        <v>1761</v>
      </c>
      <c r="B133" s="18"/>
      <c r="C133" s="18"/>
      <c r="D133" s="18">
        <v>294297</v>
      </c>
      <c r="E133" s="18"/>
      <c r="F133" s="18"/>
      <c r="G133" s="18"/>
      <c r="H133" s="18"/>
      <c r="I133" s="18"/>
      <c r="J133" s="18"/>
      <c r="K133" s="18"/>
      <c r="L133" s="18"/>
      <c r="M133" s="18"/>
      <c r="N133" s="18">
        <v>294297</v>
      </c>
    </row>
    <row r="134" spans="1:14">
      <c r="A134" s="19" t="s">
        <v>1551</v>
      </c>
      <c r="B134" s="18"/>
      <c r="C134" s="18"/>
      <c r="D134" s="18">
        <v>604971</v>
      </c>
      <c r="E134" s="18"/>
      <c r="F134" s="18"/>
      <c r="G134" s="18"/>
      <c r="H134" s="18"/>
      <c r="I134" s="18"/>
      <c r="J134" s="18"/>
      <c r="K134" s="18"/>
      <c r="L134" s="18"/>
      <c r="M134" s="18"/>
      <c r="N134" s="18">
        <v>604971</v>
      </c>
    </row>
    <row r="135" spans="1:14">
      <c r="A135" s="19" t="s">
        <v>1341</v>
      </c>
      <c r="B135" s="18"/>
      <c r="C135" s="18"/>
      <c r="D135" s="18">
        <v>177688</v>
      </c>
      <c r="E135" s="18"/>
      <c r="F135" s="18"/>
      <c r="G135" s="18"/>
      <c r="H135" s="18"/>
      <c r="I135" s="18"/>
      <c r="J135" s="18"/>
      <c r="K135" s="18"/>
      <c r="L135" s="18"/>
      <c r="M135" s="18"/>
      <c r="N135" s="18">
        <v>177688</v>
      </c>
    </row>
    <row r="136" spans="1:14">
      <c r="A136" s="19" t="s">
        <v>1131</v>
      </c>
      <c r="B136" s="18"/>
      <c r="C136" s="18"/>
      <c r="D136" s="18">
        <v>0</v>
      </c>
      <c r="E136" s="18"/>
      <c r="F136" s="18"/>
      <c r="G136" s="18"/>
      <c r="H136" s="18"/>
      <c r="I136" s="18"/>
      <c r="J136" s="18"/>
      <c r="K136" s="18"/>
      <c r="L136" s="18"/>
      <c r="M136" s="18"/>
      <c r="N136" s="18">
        <v>0</v>
      </c>
    </row>
    <row r="137" spans="1:14">
      <c r="A137" s="19" t="s">
        <v>921</v>
      </c>
      <c r="B137" s="18"/>
      <c r="C137" s="18"/>
      <c r="D137" s="18">
        <v>50607</v>
      </c>
      <c r="E137" s="18"/>
      <c r="F137" s="18"/>
      <c r="G137" s="18"/>
      <c r="H137" s="18"/>
      <c r="I137" s="18"/>
      <c r="J137" s="18"/>
      <c r="K137" s="18"/>
      <c r="L137" s="18"/>
      <c r="M137" s="18"/>
      <c r="N137" s="18">
        <v>50607</v>
      </c>
    </row>
    <row r="138" spans="1:14">
      <c r="A138" s="4" t="s">
        <v>1762</v>
      </c>
      <c r="B138" s="18"/>
      <c r="C138" s="18"/>
      <c r="D138" s="18">
        <v>294297</v>
      </c>
      <c r="E138" s="18"/>
      <c r="F138" s="18"/>
      <c r="G138" s="18"/>
      <c r="H138" s="18"/>
      <c r="I138" s="18"/>
      <c r="J138" s="18"/>
      <c r="K138" s="18"/>
      <c r="L138" s="18"/>
      <c r="M138" s="18"/>
      <c r="N138" s="18">
        <v>294297</v>
      </c>
    </row>
    <row r="139" spans="1:14">
      <c r="A139" s="4" t="s">
        <v>1552</v>
      </c>
      <c r="B139" s="18"/>
      <c r="C139" s="18"/>
      <c r="D139" s="18">
        <v>604971</v>
      </c>
      <c r="E139" s="18"/>
      <c r="F139" s="18"/>
      <c r="G139" s="18"/>
      <c r="H139" s="18"/>
      <c r="I139" s="18"/>
      <c r="J139" s="18"/>
      <c r="K139" s="18"/>
      <c r="L139" s="18"/>
      <c r="M139" s="18"/>
      <c r="N139" s="18">
        <v>604971</v>
      </c>
    </row>
    <row r="140" spans="1:14">
      <c r="A140" s="4" t="s">
        <v>1342</v>
      </c>
      <c r="B140" s="18"/>
      <c r="C140" s="18"/>
      <c r="D140" s="18">
        <v>177688</v>
      </c>
      <c r="E140" s="18"/>
      <c r="F140" s="18"/>
      <c r="G140" s="18"/>
      <c r="H140" s="18"/>
      <c r="I140" s="18"/>
      <c r="J140" s="18"/>
      <c r="K140" s="18"/>
      <c r="L140" s="18"/>
      <c r="M140" s="18"/>
      <c r="N140" s="18">
        <v>177688</v>
      </c>
    </row>
    <row r="141" spans="1:14">
      <c r="A141" s="4" t="s">
        <v>1132</v>
      </c>
      <c r="B141" s="18"/>
      <c r="C141" s="18"/>
      <c r="D141" s="18">
        <v>0</v>
      </c>
      <c r="E141" s="18"/>
      <c r="F141" s="18"/>
      <c r="G141" s="18"/>
      <c r="H141" s="18"/>
      <c r="I141" s="18"/>
      <c r="J141" s="18"/>
      <c r="K141" s="18"/>
      <c r="L141" s="18"/>
      <c r="M141" s="18"/>
      <c r="N141" s="18">
        <v>0</v>
      </c>
    </row>
    <row r="142" spans="1:14">
      <c r="A142" s="4" t="s">
        <v>922</v>
      </c>
      <c r="B142" s="18"/>
      <c r="C142" s="18"/>
      <c r="D142" s="18">
        <v>50607</v>
      </c>
      <c r="E142" s="18"/>
      <c r="F142" s="18"/>
      <c r="G142" s="18"/>
      <c r="H142" s="18"/>
      <c r="I142" s="18"/>
      <c r="J142" s="18"/>
      <c r="K142" s="18"/>
      <c r="L142" s="18"/>
      <c r="M142" s="18"/>
      <c r="N142" s="18">
        <v>50607</v>
      </c>
    </row>
    <row r="143" spans="1:14">
      <c r="A143" s="4">
        <v>340124</v>
      </c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</row>
    <row r="144" spans="1:14">
      <c r="A144" s="19">
        <v>100000</v>
      </c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</row>
    <row r="145" spans="1:14">
      <c r="A145" s="347">
        <v>486159</v>
      </c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</row>
    <row r="146" spans="1:14">
      <c r="A146" s="489">
        <v>0</v>
      </c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</row>
    <row r="147" spans="1:14">
      <c r="A147" s="753">
        <v>0</v>
      </c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</row>
    <row r="148" spans="1:14">
      <c r="A148" s="754" t="s">
        <v>898</v>
      </c>
      <c r="B148" s="18"/>
      <c r="C148" s="18">
        <v>340124</v>
      </c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>
        <v>340124</v>
      </c>
    </row>
    <row r="149" spans="1:14">
      <c r="A149" s="754" t="s">
        <v>901</v>
      </c>
      <c r="B149" s="18"/>
      <c r="C149" s="18">
        <v>486159</v>
      </c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>
        <v>486159</v>
      </c>
    </row>
    <row r="150" spans="1:14">
      <c r="A150" s="754" t="s">
        <v>903</v>
      </c>
      <c r="B150" s="18"/>
      <c r="C150" s="18">
        <v>100000</v>
      </c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>
        <v>100000</v>
      </c>
    </row>
    <row r="151" spans="1:14">
      <c r="A151" s="754" t="s">
        <v>905</v>
      </c>
      <c r="B151" s="18"/>
      <c r="C151" s="18">
        <v>0</v>
      </c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>
        <v>0</v>
      </c>
    </row>
    <row r="152" spans="1:14">
      <c r="A152" s="754" t="s">
        <v>174</v>
      </c>
      <c r="B152" s="18"/>
      <c r="C152" s="18">
        <v>0</v>
      </c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>
        <v>0</v>
      </c>
    </row>
    <row r="153" spans="1:14">
      <c r="A153" s="489" t="s">
        <v>1755</v>
      </c>
      <c r="B153" s="18"/>
      <c r="C153" s="18">
        <v>340124</v>
      </c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>
        <v>340124</v>
      </c>
    </row>
    <row r="154" spans="1:14">
      <c r="A154" s="489" t="s">
        <v>1545</v>
      </c>
      <c r="B154" s="18"/>
      <c r="C154" s="18">
        <v>486159</v>
      </c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>
        <v>486159</v>
      </c>
    </row>
    <row r="155" spans="1:14">
      <c r="A155" s="489" t="s">
        <v>1335</v>
      </c>
      <c r="B155" s="18"/>
      <c r="C155" s="18">
        <v>100000</v>
      </c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>
        <v>100000</v>
      </c>
    </row>
    <row r="156" spans="1:14">
      <c r="A156" s="489" t="s">
        <v>1125</v>
      </c>
      <c r="B156" s="18"/>
      <c r="C156" s="18">
        <v>0</v>
      </c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>
        <v>0</v>
      </c>
    </row>
    <row r="157" spans="1:14">
      <c r="A157" s="489" t="s">
        <v>915</v>
      </c>
      <c r="B157" s="18"/>
      <c r="C157" s="18">
        <v>0</v>
      </c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>
        <v>0</v>
      </c>
    </row>
    <row r="158" spans="1:14">
      <c r="A158" s="347" t="s">
        <v>1763</v>
      </c>
      <c r="B158" s="18"/>
      <c r="C158" s="18">
        <v>340124</v>
      </c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>
        <v>340124</v>
      </c>
    </row>
    <row r="159" spans="1:14">
      <c r="A159" s="347" t="s">
        <v>1553</v>
      </c>
      <c r="B159" s="18"/>
      <c r="C159" s="18">
        <v>486159</v>
      </c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>
        <v>486159</v>
      </c>
    </row>
    <row r="160" spans="1:14">
      <c r="A160" s="347" t="s">
        <v>1343</v>
      </c>
      <c r="B160" s="18"/>
      <c r="C160" s="18">
        <v>100000</v>
      </c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>
        <v>100000</v>
      </c>
    </row>
    <row r="161" spans="1:14">
      <c r="A161" s="347" t="s">
        <v>1133</v>
      </c>
      <c r="B161" s="18"/>
      <c r="C161" s="18">
        <v>0</v>
      </c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>
        <v>0</v>
      </c>
    </row>
    <row r="162" spans="1:14">
      <c r="A162" s="347" t="s">
        <v>923</v>
      </c>
      <c r="B162" s="18"/>
      <c r="C162" s="18">
        <v>0</v>
      </c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>
        <v>0</v>
      </c>
    </row>
    <row r="163" spans="1:14">
      <c r="A163" s="19" t="s">
        <v>1764</v>
      </c>
      <c r="B163" s="18"/>
      <c r="C163" s="18">
        <v>340124</v>
      </c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>
        <v>340124</v>
      </c>
    </row>
    <row r="164" spans="1:14">
      <c r="A164" s="19" t="s">
        <v>1554</v>
      </c>
      <c r="B164" s="18"/>
      <c r="C164" s="18">
        <v>486159</v>
      </c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>
        <v>486159</v>
      </c>
    </row>
    <row r="165" spans="1:14">
      <c r="A165" s="19" t="s">
        <v>1344</v>
      </c>
      <c r="B165" s="18"/>
      <c r="C165" s="18">
        <v>100000</v>
      </c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>
        <v>100000</v>
      </c>
    </row>
    <row r="166" spans="1:14">
      <c r="A166" s="19" t="s">
        <v>1134</v>
      </c>
      <c r="B166" s="18"/>
      <c r="C166" s="18">
        <v>0</v>
      </c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>
        <v>0</v>
      </c>
    </row>
    <row r="167" spans="1:14">
      <c r="A167" s="19" t="s">
        <v>924</v>
      </c>
      <c r="B167" s="18"/>
      <c r="C167" s="18">
        <v>0</v>
      </c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>
        <v>0</v>
      </c>
    </row>
    <row r="168" spans="1:14">
      <c r="A168" s="4" t="s">
        <v>1765</v>
      </c>
      <c r="B168" s="18"/>
      <c r="C168" s="18">
        <v>340124</v>
      </c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>
        <v>340124</v>
      </c>
    </row>
    <row r="169" spans="1:14">
      <c r="A169" s="4" t="s">
        <v>1555</v>
      </c>
      <c r="B169" s="18"/>
      <c r="C169" s="18">
        <v>486159</v>
      </c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>
        <v>486159</v>
      </c>
    </row>
    <row r="170" spans="1:14">
      <c r="A170" s="4" t="s">
        <v>1345</v>
      </c>
      <c r="B170" s="18"/>
      <c r="C170" s="18">
        <v>100000</v>
      </c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>
        <v>100000</v>
      </c>
    </row>
    <row r="171" spans="1:14">
      <c r="A171" s="4" t="s">
        <v>1135</v>
      </c>
      <c r="B171" s="18"/>
      <c r="C171" s="18">
        <v>0</v>
      </c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>
        <v>0</v>
      </c>
    </row>
    <row r="172" spans="1:14">
      <c r="A172" s="4" t="s">
        <v>925</v>
      </c>
      <c r="B172" s="18"/>
      <c r="C172" s="18">
        <v>0</v>
      </c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>
        <v>0</v>
      </c>
    </row>
    <row r="173" spans="1:14">
      <c r="A173" s="4">
        <v>426409</v>
      </c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</row>
    <row r="174" spans="1:14">
      <c r="A174" s="19">
        <v>225000</v>
      </c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</row>
    <row r="175" spans="1:14">
      <c r="A175" s="347">
        <v>864010</v>
      </c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</row>
    <row r="176" spans="1:14">
      <c r="A176" s="489">
        <v>0</v>
      </c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</row>
    <row r="177" spans="1:14">
      <c r="A177" s="753">
        <v>200248.57</v>
      </c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</row>
    <row r="178" spans="1:14">
      <c r="A178" s="754" t="s">
        <v>898</v>
      </c>
      <c r="B178" s="18"/>
      <c r="C178" s="18"/>
      <c r="D178" s="18"/>
      <c r="E178" s="18">
        <v>426409</v>
      </c>
      <c r="F178" s="18"/>
      <c r="G178" s="18"/>
      <c r="H178" s="18"/>
      <c r="I178" s="18"/>
      <c r="J178" s="18"/>
      <c r="K178" s="18"/>
      <c r="L178" s="18"/>
      <c r="M178" s="18"/>
      <c r="N178" s="18">
        <v>426409</v>
      </c>
    </row>
    <row r="179" spans="1:14">
      <c r="A179" s="754" t="s">
        <v>901</v>
      </c>
      <c r="B179" s="18"/>
      <c r="C179" s="18"/>
      <c r="D179" s="18"/>
      <c r="E179" s="18">
        <v>864010</v>
      </c>
      <c r="F179" s="18"/>
      <c r="G179" s="18"/>
      <c r="H179" s="18"/>
      <c r="I179" s="18"/>
      <c r="J179" s="18"/>
      <c r="K179" s="18"/>
      <c r="L179" s="18"/>
      <c r="M179" s="18"/>
      <c r="N179" s="18">
        <v>864010</v>
      </c>
    </row>
    <row r="180" spans="1:14">
      <c r="A180" s="754" t="s">
        <v>903</v>
      </c>
      <c r="B180" s="18"/>
      <c r="C180" s="18"/>
      <c r="D180" s="18"/>
      <c r="E180" s="18">
        <v>225000</v>
      </c>
      <c r="F180" s="18"/>
      <c r="G180" s="18"/>
      <c r="H180" s="18"/>
      <c r="I180" s="18"/>
      <c r="J180" s="18"/>
      <c r="K180" s="18"/>
      <c r="L180" s="18"/>
      <c r="M180" s="18"/>
      <c r="N180" s="18">
        <v>225000</v>
      </c>
    </row>
    <row r="181" spans="1:14">
      <c r="A181" s="754" t="s">
        <v>905</v>
      </c>
      <c r="B181" s="18"/>
      <c r="C181" s="18"/>
      <c r="D181" s="18"/>
      <c r="E181" s="18">
        <v>0</v>
      </c>
      <c r="F181" s="18"/>
      <c r="G181" s="18"/>
      <c r="H181" s="18"/>
      <c r="I181" s="18"/>
      <c r="J181" s="18"/>
      <c r="K181" s="18"/>
      <c r="L181" s="18"/>
      <c r="M181" s="18"/>
      <c r="N181" s="18">
        <v>0</v>
      </c>
    </row>
    <row r="182" spans="1:14">
      <c r="A182" s="754" t="s">
        <v>174</v>
      </c>
      <c r="B182" s="18"/>
      <c r="C182" s="18"/>
      <c r="D182" s="18"/>
      <c r="E182" s="18">
        <v>200248.57</v>
      </c>
      <c r="F182" s="18"/>
      <c r="G182" s="18"/>
      <c r="H182" s="18"/>
      <c r="I182" s="18"/>
      <c r="J182" s="18"/>
      <c r="K182" s="18"/>
      <c r="L182" s="18"/>
      <c r="M182" s="18"/>
      <c r="N182" s="18">
        <v>200248.57</v>
      </c>
    </row>
    <row r="183" spans="1:14">
      <c r="A183" s="489" t="s">
        <v>1755</v>
      </c>
      <c r="B183" s="18"/>
      <c r="C183" s="18"/>
      <c r="D183" s="18"/>
      <c r="E183" s="18">
        <v>426409</v>
      </c>
      <c r="F183" s="18"/>
      <c r="G183" s="18"/>
      <c r="H183" s="18"/>
      <c r="I183" s="18"/>
      <c r="J183" s="18"/>
      <c r="K183" s="18"/>
      <c r="L183" s="18"/>
      <c r="M183" s="18"/>
      <c r="N183" s="18">
        <v>426409</v>
      </c>
    </row>
    <row r="184" spans="1:14">
      <c r="A184" s="489" t="s">
        <v>1545</v>
      </c>
      <c r="B184" s="18"/>
      <c r="C184" s="18"/>
      <c r="D184" s="18"/>
      <c r="E184" s="18">
        <v>864010</v>
      </c>
      <c r="F184" s="18"/>
      <c r="G184" s="18"/>
      <c r="H184" s="18"/>
      <c r="I184" s="18"/>
      <c r="J184" s="18"/>
      <c r="K184" s="18"/>
      <c r="L184" s="18"/>
      <c r="M184" s="18"/>
      <c r="N184" s="18">
        <v>864010</v>
      </c>
    </row>
    <row r="185" spans="1:14">
      <c r="A185" s="489" t="s">
        <v>1335</v>
      </c>
      <c r="B185" s="18"/>
      <c r="C185" s="18"/>
      <c r="D185" s="18"/>
      <c r="E185" s="18">
        <v>225000</v>
      </c>
      <c r="F185" s="18"/>
      <c r="G185" s="18"/>
      <c r="H185" s="18"/>
      <c r="I185" s="18"/>
      <c r="J185" s="18"/>
      <c r="K185" s="18"/>
      <c r="L185" s="18"/>
      <c r="M185" s="18"/>
      <c r="N185" s="18">
        <v>225000</v>
      </c>
    </row>
    <row r="186" spans="1:14">
      <c r="A186" s="489" t="s">
        <v>1125</v>
      </c>
      <c r="B186" s="18"/>
      <c r="C186" s="18"/>
      <c r="D186" s="18"/>
      <c r="E186" s="18">
        <v>0</v>
      </c>
      <c r="F186" s="18"/>
      <c r="G186" s="18"/>
      <c r="H186" s="18"/>
      <c r="I186" s="18"/>
      <c r="J186" s="18"/>
      <c r="K186" s="18"/>
      <c r="L186" s="18"/>
      <c r="M186" s="18"/>
      <c r="N186" s="18">
        <v>0</v>
      </c>
    </row>
    <row r="187" spans="1:14">
      <c r="A187" s="489" t="s">
        <v>915</v>
      </c>
      <c r="B187" s="18"/>
      <c r="C187" s="18"/>
      <c r="D187" s="18"/>
      <c r="E187" s="18">
        <v>200248.57</v>
      </c>
      <c r="F187" s="18"/>
      <c r="G187" s="18"/>
      <c r="H187" s="18"/>
      <c r="I187" s="18"/>
      <c r="J187" s="18"/>
      <c r="K187" s="18"/>
      <c r="L187" s="18"/>
      <c r="M187" s="18"/>
      <c r="N187" s="18">
        <v>200248.57</v>
      </c>
    </row>
    <row r="188" spans="1:14">
      <c r="A188" s="347" t="s">
        <v>1766</v>
      </c>
      <c r="B188" s="18"/>
      <c r="C188" s="18"/>
      <c r="D188" s="18"/>
      <c r="E188" s="18">
        <v>426409</v>
      </c>
      <c r="F188" s="18"/>
      <c r="G188" s="18"/>
      <c r="H188" s="18"/>
      <c r="I188" s="18"/>
      <c r="J188" s="18"/>
      <c r="K188" s="18"/>
      <c r="L188" s="18"/>
      <c r="M188" s="18"/>
      <c r="N188" s="18">
        <v>426409</v>
      </c>
    </row>
    <row r="189" spans="1:14">
      <c r="A189" s="347" t="s">
        <v>1556</v>
      </c>
      <c r="B189" s="18"/>
      <c r="C189" s="18"/>
      <c r="D189" s="18"/>
      <c r="E189" s="18">
        <v>864010</v>
      </c>
      <c r="F189" s="18"/>
      <c r="G189" s="18"/>
      <c r="H189" s="18"/>
      <c r="I189" s="18"/>
      <c r="J189" s="18"/>
      <c r="K189" s="18"/>
      <c r="L189" s="18"/>
      <c r="M189" s="18"/>
      <c r="N189" s="18">
        <v>864010</v>
      </c>
    </row>
    <row r="190" spans="1:14">
      <c r="A190" s="347" t="s">
        <v>1346</v>
      </c>
      <c r="B190" s="18"/>
      <c r="C190" s="18"/>
      <c r="D190" s="18"/>
      <c r="E190" s="18">
        <v>225000</v>
      </c>
      <c r="F190" s="18"/>
      <c r="G190" s="18"/>
      <c r="H190" s="18"/>
      <c r="I190" s="18"/>
      <c r="J190" s="18"/>
      <c r="K190" s="18"/>
      <c r="L190" s="18"/>
      <c r="M190" s="18"/>
      <c r="N190" s="18">
        <v>225000</v>
      </c>
    </row>
    <row r="191" spans="1:14">
      <c r="A191" s="347" t="s">
        <v>1136</v>
      </c>
      <c r="B191" s="18"/>
      <c r="C191" s="18"/>
      <c r="D191" s="18"/>
      <c r="E191" s="18">
        <v>0</v>
      </c>
      <c r="F191" s="18"/>
      <c r="G191" s="18"/>
      <c r="H191" s="18"/>
      <c r="I191" s="18"/>
      <c r="J191" s="18"/>
      <c r="K191" s="18"/>
      <c r="L191" s="18"/>
      <c r="M191" s="18"/>
      <c r="N191" s="18">
        <v>0</v>
      </c>
    </row>
    <row r="192" spans="1:14">
      <c r="A192" s="347" t="s">
        <v>926</v>
      </c>
      <c r="B192" s="18"/>
      <c r="C192" s="18"/>
      <c r="D192" s="18"/>
      <c r="E192" s="18">
        <v>200248.57</v>
      </c>
      <c r="F192" s="18"/>
      <c r="G192" s="18"/>
      <c r="H192" s="18"/>
      <c r="I192" s="18"/>
      <c r="J192" s="18"/>
      <c r="K192" s="18"/>
      <c r="L192" s="18"/>
      <c r="M192" s="18"/>
      <c r="N192" s="18">
        <v>200248.57</v>
      </c>
    </row>
    <row r="193" spans="1:14">
      <c r="A193" s="19" t="s">
        <v>1767</v>
      </c>
      <c r="B193" s="18"/>
      <c r="C193" s="18"/>
      <c r="D193" s="18"/>
      <c r="E193" s="18">
        <v>426409</v>
      </c>
      <c r="F193" s="18"/>
      <c r="G193" s="18"/>
      <c r="H193" s="18"/>
      <c r="I193" s="18"/>
      <c r="J193" s="18"/>
      <c r="K193" s="18"/>
      <c r="L193" s="18"/>
      <c r="M193" s="18"/>
      <c r="N193" s="18">
        <v>426409</v>
      </c>
    </row>
    <row r="194" spans="1:14">
      <c r="A194" s="19" t="s">
        <v>1557</v>
      </c>
      <c r="B194" s="18"/>
      <c r="C194" s="18"/>
      <c r="D194" s="18"/>
      <c r="E194" s="18">
        <v>864010</v>
      </c>
      <c r="F194" s="18"/>
      <c r="G194" s="18"/>
      <c r="H194" s="18"/>
      <c r="I194" s="18"/>
      <c r="J194" s="18"/>
      <c r="K194" s="18"/>
      <c r="L194" s="18"/>
      <c r="M194" s="18"/>
      <c r="N194" s="18">
        <v>864010</v>
      </c>
    </row>
    <row r="195" spans="1:14">
      <c r="A195" s="19" t="s">
        <v>1347</v>
      </c>
      <c r="B195" s="18"/>
      <c r="C195" s="18"/>
      <c r="D195" s="18"/>
      <c r="E195" s="18">
        <v>225000</v>
      </c>
      <c r="F195" s="18"/>
      <c r="G195" s="18"/>
      <c r="H195" s="18"/>
      <c r="I195" s="18"/>
      <c r="J195" s="18"/>
      <c r="K195" s="18"/>
      <c r="L195" s="18"/>
      <c r="M195" s="18"/>
      <c r="N195" s="18">
        <v>225000</v>
      </c>
    </row>
    <row r="196" spans="1:14">
      <c r="A196" s="19" t="s">
        <v>1137</v>
      </c>
      <c r="B196" s="18"/>
      <c r="C196" s="18"/>
      <c r="D196" s="18"/>
      <c r="E196" s="18">
        <v>0</v>
      </c>
      <c r="F196" s="18"/>
      <c r="G196" s="18"/>
      <c r="H196" s="18"/>
      <c r="I196" s="18"/>
      <c r="J196" s="18"/>
      <c r="K196" s="18"/>
      <c r="L196" s="18"/>
      <c r="M196" s="18"/>
      <c r="N196" s="18">
        <v>0</v>
      </c>
    </row>
    <row r="197" spans="1:14">
      <c r="A197" s="19" t="s">
        <v>927</v>
      </c>
      <c r="B197" s="18"/>
      <c r="C197" s="18"/>
      <c r="D197" s="18"/>
      <c r="E197" s="18">
        <v>200248.57</v>
      </c>
      <c r="F197" s="18"/>
      <c r="G197" s="18"/>
      <c r="H197" s="18"/>
      <c r="I197" s="18"/>
      <c r="J197" s="18"/>
      <c r="K197" s="18"/>
      <c r="L197" s="18"/>
      <c r="M197" s="18"/>
      <c r="N197" s="18">
        <v>200248.57</v>
      </c>
    </row>
    <row r="198" spans="1:14">
      <c r="A198" s="4" t="s">
        <v>1768</v>
      </c>
      <c r="B198" s="18"/>
      <c r="C198" s="18"/>
      <c r="D198" s="18"/>
      <c r="E198" s="18">
        <v>426409</v>
      </c>
      <c r="F198" s="18"/>
      <c r="G198" s="18"/>
      <c r="H198" s="18"/>
      <c r="I198" s="18"/>
      <c r="J198" s="18"/>
      <c r="K198" s="18"/>
      <c r="L198" s="18"/>
      <c r="M198" s="18"/>
      <c r="N198" s="18">
        <v>426409</v>
      </c>
    </row>
    <row r="199" spans="1:14">
      <c r="A199" s="4" t="s">
        <v>1558</v>
      </c>
      <c r="B199" s="18"/>
      <c r="C199" s="18"/>
      <c r="D199" s="18"/>
      <c r="E199" s="18">
        <v>864010</v>
      </c>
      <c r="F199" s="18"/>
      <c r="G199" s="18"/>
      <c r="H199" s="18"/>
      <c r="I199" s="18"/>
      <c r="J199" s="18"/>
      <c r="K199" s="18"/>
      <c r="L199" s="18"/>
      <c r="M199" s="18"/>
      <c r="N199" s="18">
        <v>864010</v>
      </c>
    </row>
    <row r="200" spans="1:14">
      <c r="A200" s="4" t="s">
        <v>1348</v>
      </c>
      <c r="B200" s="18"/>
      <c r="C200" s="18"/>
      <c r="D200" s="18"/>
      <c r="E200" s="18">
        <v>225000</v>
      </c>
      <c r="F200" s="18"/>
      <c r="G200" s="18"/>
      <c r="H200" s="18"/>
      <c r="I200" s="18"/>
      <c r="J200" s="18"/>
      <c r="K200" s="18"/>
      <c r="L200" s="18"/>
      <c r="M200" s="18"/>
      <c r="N200" s="18">
        <v>225000</v>
      </c>
    </row>
    <row r="201" spans="1:14">
      <c r="A201" s="4" t="s">
        <v>1138</v>
      </c>
      <c r="B201" s="18"/>
      <c r="C201" s="18"/>
      <c r="D201" s="18"/>
      <c r="E201" s="18">
        <v>0</v>
      </c>
      <c r="F201" s="18"/>
      <c r="G201" s="18"/>
      <c r="H201" s="18"/>
      <c r="I201" s="18"/>
      <c r="J201" s="18"/>
      <c r="K201" s="18"/>
      <c r="L201" s="18"/>
      <c r="M201" s="18"/>
      <c r="N201" s="18">
        <v>0</v>
      </c>
    </row>
    <row r="202" spans="1:14">
      <c r="A202" s="4" t="s">
        <v>928</v>
      </c>
      <c r="B202" s="18"/>
      <c r="C202" s="18"/>
      <c r="D202" s="18"/>
      <c r="E202" s="18">
        <v>200248.57</v>
      </c>
      <c r="F202" s="18"/>
      <c r="G202" s="18"/>
      <c r="H202" s="18"/>
      <c r="I202" s="18"/>
      <c r="J202" s="18"/>
      <c r="K202" s="18"/>
      <c r="L202" s="18"/>
      <c r="M202" s="18"/>
      <c r="N202" s="18">
        <v>200248.57</v>
      </c>
    </row>
    <row r="203" spans="1:14">
      <c r="A203" s="4">
        <v>443491.89</v>
      </c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</row>
    <row r="204" spans="1:14">
      <c r="A204" s="19">
        <v>266000</v>
      </c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</row>
    <row r="205" spans="1:14">
      <c r="A205" s="347">
        <v>771556</v>
      </c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</row>
    <row r="206" spans="1:14">
      <c r="A206" s="489">
        <v>18936</v>
      </c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</row>
    <row r="207" spans="1:14">
      <c r="A207" s="753">
        <v>0</v>
      </c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</row>
    <row r="208" spans="1:14">
      <c r="A208" s="754" t="s">
        <v>898</v>
      </c>
      <c r="B208" s="18"/>
      <c r="C208" s="18"/>
      <c r="D208" s="18"/>
      <c r="E208" s="18"/>
      <c r="F208" s="18"/>
      <c r="G208" s="18">
        <v>443491.89</v>
      </c>
      <c r="H208" s="18"/>
      <c r="I208" s="18"/>
      <c r="J208" s="18"/>
      <c r="K208" s="18"/>
      <c r="L208" s="18"/>
      <c r="M208" s="18"/>
      <c r="N208" s="18">
        <v>443491.89</v>
      </c>
    </row>
    <row r="209" spans="1:14">
      <c r="A209" s="754" t="s">
        <v>901</v>
      </c>
      <c r="B209" s="18"/>
      <c r="C209" s="18"/>
      <c r="D209" s="18"/>
      <c r="E209" s="18"/>
      <c r="F209" s="18"/>
      <c r="G209" s="18">
        <v>771556</v>
      </c>
      <c r="H209" s="18"/>
      <c r="I209" s="18"/>
      <c r="J209" s="18"/>
      <c r="K209" s="18"/>
      <c r="L209" s="18"/>
      <c r="M209" s="18"/>
      <c r="N209" s="18">
        <v>771556</v>
      </c>
    </row>
    <row r="210" spans="1:14">
      <c r="A210" s="754" t="s">
        <v>903</v>
      </c>
      <c r="B210" s="18"/>
      <c r="C210" s="18"/>
      <c r="D210" s="18"/>
      <c r="E210" s="18"/>
      <c r="F210" s="18"/>
      <c r="G210" s="18">
        <v>266000</v>
      </c>
      <c r="H210" s="18"/>
      <c r="I210" s="18"/>
      <c r="J210" s="18"/>
      <c r="K210" s="18"/>
      <c r="L210" s="18"/>
      <c r="M210" s="18"/>
      <c r="N210" s="18">
        <v>266000</v>
      </c>
    </row>
    <row r="211" spans="1:14">
      <c r="A211" s="754" t="s">
        <v>905</v>
      </c>
      <c r="B211" s="18"/>
      <c r="C211" s="18"/>
      <c r="D211" s="18"/>
      <c r="E211" s="18"/>
      <c r="F211" s="18"/>
      <c r="G211" s="18">
        <v>18936</v>
      </c>
      <c r="H211" s="18"/>
      <c r="I211" s="18"/>
      <c r="J211" s="18"/>
      <c r="K211" s="18"/>
      <c r="L211" s="18"/>
      <c r="M211" s="18"/>
      <c r="N211" s="18">
        <v>18936</v>
      </c>
    </row>
    <row r="212" spans="1:14">
      <c r="A212" s="754" t="s">
        <v>174</v>
      </c>
      <c r="B212" s="18"/>
      <c r="C212" s="18"/>
      <c r="D212" s="18"/>
      <c r="E212" s="18"/>
      <c r="F212" s="18"/>
      <c r="G212" s="18">
        <v>0</v>
      </c>
      <c r="H212" s="18"/>
      <c r="I212" s="18"/>
      <c r="J212" s="18"/>
      <c r="K212" s="18"/>
      <c r="L212" s="18"/>
      <c r="M212" s="18"/>
      <c r="N212" s="18">
        <v>0</v>
      </c>
    </row>
    <row r="213" spans="1:14">
      <c r="A213" s="489" t="s">
        <v>1769</v>
      </c>
      <c r="B213" s="18"/>
      <c r="C213" s="18"/>
      <c r="D213" s="18"/>
      <c r="E213" s="18"/>
      <c r="F213" s="18"/>
      <c r="G213" s="18">
        <v>443491.89</v>
      </c>
      <c r="H213" s="18"/>
      <c r="I213" s="18"/>
      <c r="J213" s="18"/>
      <c r="K213" s="18"/>
      <c r="L213" s="18"/>
      <c r="M213" s="18"/>
      <c r="N213" s="18">
        <v>443491.89</v>
      </c>
    </row>
    <row r="214" spans="1:14">
      <c r="A214" s="489" t="s">
        <v>1559</v>
      </c>
      <c r="B214" s="18"/>
      <c r="C214" s="18"/>
      <c r="D214" s="18"/>
      <c r="E214" s="18"/>
      <c r="F214" s="18"/>
      <c r="G214" s="18">
        <v>771556</v>
      </c>
      <c r="H214" s="18"/>
      <c r="I214" s="18"/>
      <c r="J214" s="18"/>
      <c r="K214" s="18"/>
      <c r="L214" s="18"/>
      <c r="M214" s="18"/>
      <c r="N214" s="18">
        <v>771556</v>
      </c>
    </row>
    <row r="215" spans="1:14">
      <c r="A215" s="489" t="s">
        <v>1349</v>
      </c>
      <c r="B215" s="18"/>
      <c r="C215" s="18"/>
      <c r="D215" s="18"/>
      <c r="E215" s="18"/>
      <c r="F215" s="18"/>
      <c r="G215" s="18">
        <v>266000</v>
      </c>
      <c r="H215" s="18"/>
      <c r="I215" s="18"/>
      <c r="J215" s="18"/>
      <c r="K215" s="18"/>
      <c r="L215" s="18"/>
      <c r="M215" s="18"/>
      <c r="N215" s="18">
        <v>266000</v>
      </c>
    </row>
    <row r="216" spans="1:14">
      <c r="A216" s="489" t="s">
        <v>1139</v>
      </c>
      <c r="B216" s="18"/>
      <c r="C216" s="18"/>
      <c r="D216" s="18"/>
      <c r="E216" s="18"/>
      <c r="F216" s="18"/>
      <c r="G216" s="18">
        <v>18936</v>
      </c>
      <c r="H216" s="18"/>
      <c r="I216" s="18"/>
      <c r="J216" s="18"/>
      <c r="K216" s="18"/>
      <c r="L216" s="18"/>
      <c r="M216" s="18"/>
      <c r="N216" s="18">
        <v>18936</v>
      </c>
    </row>
    <row r="217" spans="1:14">
      <c r="A217" s="489" t="s">
        <v>929</v>
      </c>
      <c r="B217" s="18"/>
      <c r="C217" s="18"/>
      <c r="D217" s="18"/>
      <c r="E217" s="18"/>
      <c r="F217" s="18"/>
      <c r="G217" s="18">
        <v>0</v>
      </c>
      <c r="H217" s="18"/>
      <c r="I217" s="18"/>
      <c r="J217" s="18"/>
      <c r="K217" s="18"/>
      <c r="L217" s="18"/>
      <c r="M217" s="18"/>
      <c r="N217" s="18">
        <v>0</v>
      </c>
    </row>
    <row r="218" spans="1:14">
      <c r="A218" s="347" t="s">
        <v>1770</v>
      </c>
      <c r="B218" s="18"/>
      <c r="C218" s="18"/>
      <c r="D218" s="18"/>
      <c r="E218" s="18"/>
      <c r="F218" s="18"/>
      <c r="G218" s="18">
        <v>443491.89</v>
      </c>
      <c r="H218" s="18"/>
      <c r="I218" s="18"/>
      <c r="J218" s="18"/>
      <c r="K218" s="18"/>
      <c r="L218" s="18"/>
      <c r="M218" s="18"/>
      <c r="N218" s="18">
        <v>443491.89</v>
      </c>
    </row>
    <row r="219" spans="1:14">
      <c r="A219" s="347" t="s">
        <v>1560</v>
      </c>
      <c r="B219" s="18"/>
      <c r="C219" s="18"/>
      <c r="D219" s="18"/>
      <c r="E219" s="18"/>
      <c r="F219" s="18"/>
      <c r="G219" s="18">
        <v>771556</v>
      </c>
      <c r="H219" s="18"/>
      <c r="I219" s="18"/>
      <c r="J219" s="18"/>
      <c r="K219" s="18"/>
      <c r="L219" s="18"/>
      <c r="M219" s="18"/>
      <c r="N219" s="18">
        <v>771556</v>
      </c>
    </row>
    <row r="220" spans="1:14">
      <c r="A220" s="347" t="s">
        <v>1350</v>
      </c>
      <c r="B220" s="18"/>
      <c r="C220" s="18"/>
      <c r="D220" s="18"/>
      <c r="E220" s="18"/>
      <c r="F220" s="18"/>
      <c r="G220" s="18">
        <v>266000</v>
      </c>
      <c r="H220" s="18"/>
      <c r="I220" s="18"/>
      <c r="J220" s="18"/>
      <c r="K220" s="18"/>
      <c r="L220" s="18"/>
      <c r="M220" s="18"/>
      <c r="N220" s="18">
        <v>266000</v>
      </c>
    </row>
    <row r="221" spans="1:14">
      <c r="A221" s="347" t="s">
        <v>1140</v>
      </c>
      <c r="B221" s="18"/>
      <c r="C221" s="18"/>
      <c r="D221" s="18"/>
      <c r="E221" s="18"/>
      <c r="F221" s="18"/>
      <c r="G221" s="18">
        <v>18936</v>
      </c>
      <c r="H221" s="18"/>
      <c r="I221" s="18"/>
      <c r="J221" s="18"/>
      <c r="K221" s="18"/>
      <c r="L221" s="18"/>
      <c r="M221" s="18"/>
      <c r="N221" s="18">
        <v>18936</v>
      </c>
    </row>
    <row r="222" spans="1:14">
      <c r="A222" s="347" t="s">
        <v>930</v>
      </c>
      <c r="B222" s="18"/>
      <c r="C222" s="18"/>
      <c r="D222" s="18"/>
      <c r="E222" s="18"/>
      <c r="F222" s="18"/>
      <c r="G222" s="18">
        <v>0</v>
      </c>
      <c r="H222" s="18"/>
      <c r="I222" s="18"/>
      <c r="J222" s="18"/>
      <c r="K222" s="18"/>
      <c r="L222" s="18"/>
      <c r="M222" s="18"/>
      <c r="N222" s="18">
        <v>0</v>
      </c>
    </row>
    <row r="223" spans="1:14">
      <c r="A223" s="19" t="s">
        <v>1771</v>
      </c>
      <c r="B223" s="18"/>
      <c r="C223" s="18"/>
      <c r="D223" s="18"/>
      <c r="E223" s="18"/>
      <c r="F223" s="18"/>
      <c r="G223" s="18">
        <v>443491.89</v>
      </c>
      <c r="H223" s="18"/>
      <c r="I223" s="18"/>
      <c r="J223" s="18"/>
      <c r="K223" s="18"/>
      <c r="L223" s="18"/>
      <c r="M223" s="18"/>
      <c r="N223" s="18">
        <v>443491.89</v>
      </c>
    </row>
    <row r="224" spans="1:14">
      <c r="A224" s="19" t="s">
        <v>1561</v>
      </c>
      <c r="B224" s="18"/>
      <c r="C224" s="18"/>
      <c r="D224" s="18"/>
      <c r="E224" s="18"/>
      <c r="F224" s="18"/>
      <c r="G224" s="18">
        <v>771556</v>
      </c>
      <c r="H224" s="18"/>
      <c r="I224" s="18"/>
      <c r="J224" s="18"/>
      <c r="K224" s="18"/>
      <c r="L224" s="18"/>
      <c r="M224" s="18"/>
      <c r="N224" s="18">
        <v>771556</v>
      </c>
    </row>
    <row r="225" spans="1:14">
      <c r="A225" s="19" t="s">
        <v>1351</v>
      </c>
      <c r="B225" s="18"/>
      <c r="C225" s="18"/>
      <c r="D225" s="18"/>
      <c r="E225" s="18"/>
      <c r="F225" s="18"/>
      <c r="G225" s="18">
        <v>266000</v>
      </c>
      <c r="H225" s="18"/>
      <c r="I225" s="18"/>
      <c r="J225" s="18"/>
      <c r="K225" s="18"/>
      <c r="L225" s="18"/>
      <c r="M225" s="18"/>
      <c r="N225" s="18">
        <v>266000</v>
      </c>
    </row>
    <row r="226" spans="1:14">
      <c r="A226" s="19" t="s">
        <v>1141</v>
      </c>
      <c r="B226" s="18"/>
      <c r="C226" s="18"/>
      <c r="D226" s="18"/>
      <c r="E226" s="18"/>
      <c r="F226" s="18"/>
      <c r="G226" s="18">
        <v>18936</v>
      </c>
      <c r="H226" s="18"/>
      <c r="I226" s="18"/>
      <c r="J226" s="18"/>
      <c r="K226" s="18"/>
      <c r="L226" s="18"/>
      <c r="M226" s="18"/>
      <c r="N226" s="18">
        <v>18936</v>
      </c>
    </row>
    <row r="227" spans="1:14">
      <c r="A227" s="19" t="s">
        <v>931</v>
      </c>
      <c r="B227" s="18"/>
      <c r="C227" s="18"/>
      <c r="D227" s="18"/>
      <c r="E227" s="18"/>
      <c r="F227" s="18"/>
      <c r="G227" s="18">
        <v>0</v>
      </c>
      <c r="H227" s="18"/>
      <c r="I227" s="18"/>
      <c r="J227" s="18"/>
      <c r="K227" s="18"/>
      <c r="L227" s="18"/>
      <c r="M227" s="18"/>
      <c r="N227" s="18">
        <v>0</v>
      </c>
    </row>
    <row r="228" spans="1:14">
      <c r="A228" s="4" t="s">
        <v>1772</v>
      </c>
      <c r="B228" s="18"/>
      <c r="C228" s="18"/>
      <c r="D228" s="18"/>
      <c r="E228" s="18"/>
      <c r="F228" s="18"/>
      <c r="G228" s="18">
        <v>443491.89</v>
      </c>
      <c r="H228" s="18"/>
      <c r="I228" s="18"/>
      <c r="J228" s="18"/>
      <c r="K228" s="18"/>
      <c r="L228" s="18"/>
      <c r="M228" s="18"/>
      <c r="N228" s="18">
        <v>443491.89</v>
      </c>
    </row>
    <row r="229" spans="1:14">
      <c r="A229" s="4" t="s">
        <v>1562</v>
      </c>
      <c r="B229" s="18"/>
      <c r="C229" s="18"/>
      <c r="D229" s="18"/>
      <c r="E229" s="18"/>
      <c r="F229" s="18"/>
      <c r="G229" s="18">
        <v>771556</v>
      </c>
      <c r="H229" s="18"/>
      <c r="I229" s="18"/>
      <c r="J229" s="18"/>
      <c r="K229" s="18"/>
      <c r="L229" s="18"/>
      <c r="M229" s="18"/>
      <c r="N229" s="18">
        <v>771556</v>
      </c>
    </row>
    <row r="230" spans="1:14">
      <c r="A230" s="4" t="s">
        <v>1352</v>
      </c>
      <c r="B230" s="18"/>
      <c r="C230" s="18"/>
      <c r="D230" s="18"/>
      <c r="E230" s="18"/>
      <c r="F230" s="18"/>
      <c r="G230" s="18">
        <v>266000</v>
      </c>
      <c r="H230" s="18"/>
      <c r="I230" s="18"/>
      <c r="J230" s="18"/>
      <c r="K230" s="18"/>
      <c r="L230" s="18"/>
      <c r="M230" s="18"/>
      <c r="N230" s="18">
        <v>266000</v>
      </c>
    </row>
    <row r="231" spans="1:14">
      <c r="A231" s="4" t="s">
        <v>1142</v>
      </c>
      <c r="B231" s="18"/>
      <c r="C231" s="18"/>
      <c r="D231" s="18"/>
      <c r="E231" s="18"/>
      <c r="F231" s="18"/>
      <c r="G231" s="18">
        <v>18936</v>
      </c>
      <c r="H231" s="18"/>
      <c r="I231" s="18"/>
      <c r="J231" s="18"/>
      <c r="K231" s="18"/>
      <c r="L231" s="18"/>
      <c r="M231" s="18"/>
      <c r="N231" s="18">
        <v>18936</v>
      </c>
    </row>
    <row r="232" spans="1:14">
      <c r="A232" s="4" t="s">
        <v>932</v>
      </c>
      <c r="B232" s="18"/>
      <c r="C232" s="18"/>
      <c r="D232" s="18"/>
      <c r="E232" s="18"/>
      <c r="F232" s="18"/>
      <c r="G232" s="18">
        <v>0</v>
      </c>
      <c r="H232" s="18"/>
      <c r="I232" s="18"/>
      <c r="J232" s="18"/>
      <c r="K232" s="18"/>
      <c r="L232" s="18"/>
      <c r="M232" s="18"/>
      <c r="N232" s="18">
        <v>0</v>
      </c>
    </row>
    <row r="233" spans="1:14">
      <c r="A233" s="4">
        <v>553441</v>
      </c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</row>
    <row r="234" spans="1:14">
      <c r="A234" s="19">
        <v>165000</v>
      </c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</row>
    <row r="235" spans="1:14">
      <c r="A235" s="347">
        <v>1110259</v>
      </c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</row>
    <row r="236" spans="1:14">
      <c r="A236" s="489">
        <v>0</v>
      </c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</row>
    <row r="237" spans="1:14">
      <c r="A237" s="753">
        <v>179385.62</v>
      </c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</row>
    <row r="238" spans="1:14">
      <c r="A238" s="754" t="s">
        <v>898</v>
      </c>
      <c r="B238" s="18"/>
      <c r="C238" s="18"/>
      <c r="D238" s="18">
        <v>553441</v>
      </c>
      <c r="E238" s="18"/>
      <c r="F238" s="18"/>
      <c r="G238" s="18"/>
      <c r="H238" s="18"/>
      <c r="I238" s="18"/>
      <c r="J238" s="18"/>
      <c r="K238" s="18"/>
      <c r="L238" s="18"/>
      <c r="M238" s="18"/>
      <c r="N238" s="18">
        <v>553441</v>
      </c>
    </row>
    <row r="239" spans="1:14">
      <c r="A239" s="754" t="s">
        <v>901</v>
      </c>
      <c r="B239" s="18"/>
      <c r="C239" s="18"/>
      <c r="D239" s="18">
        <v>1110259</v>
      </c>
      <c r="E239" s="18"/>
      <c r="F239" s="18"/>
      <c r="G239" s="18"/>
      <c r="H239" s="18"/>
      <c r="I239" s="18"/>
      <c r="J239" s="18"/>
      <c r="K239" s="18"/>
      <c r="L239" s="18"/>
      <c r="M239" s="18"/>
      <c r="N239" s="18">
        <v>1110259</v>
      </c>
    </row>
    <row r="240" spans="1:14">
      <c r="A240" s="754" t="s">
        <v>903</v>
      </c>
      <c r="B240" s="18"/>
      <c r="C240" s="18"/>
      <c r="D240" s="18">
        <v>165000</v>
      </c>
      <c r="E240" s="18"/>
      <c r="F240" s="18"/>
      <c r="G240" s="18"/>
      <c r="H240" s="18"/>
      <c r="I240" s="18"/>
      <c r="J240" s="18"/>
      <c r="K240" s="18"/>
      <c r="L240" s="18"/>
      <c r="M240" s="18"/>
      <c r="N240" s="18">
        <v>165000</v>
      </c>
    </row>
    <row r="241" spans="1:14">
      <c r="A241" s="754" t="s">
        <v>905</v>
      </c>
      <c r="B241" s="18"/>
      <c r="C241" s="18"/>
      <c r="D241" s="18">
        <v>0</v>
      </c>
      <c r="E241" s="18"/>
      <c r="F241" s="18"/>
      <c r="G241" s="18"/>
      <c r="H241" s="18"/>
      <c r="I241" s="18"/>
      <c r="J241" s="18"/>
      <c r="K241" s="18"/>
      <c r="L241" s="18"/>
      <c r="M241" s="18"/>
      <c r="N241" s="18">
        <v>0</v>
      </c>
    </row>
    <row r="242" spans="1:14">
      <c r="A242" s="754" t="s">
        <v>174</v>
      </c>
      <c r="B242" s="18"/>
      <c r="C242" s="18"/>
      <c r="D242" s="18">
        <v>179385.62</v>
      </c>
      <c r="E242" s="18"/>
      <c r="F242" s="18"/>
      <c r="G242" s="18"/>
      <c r="H242" s="18"/>
      <c r="I242" s="18"/>
      <c r="J242" s="18"/>
      <c r="K242" s="18"/>
      <c r="L242" s="18"/>
      <c r="M242" s="18"/>
      <c r="N242" s="18">
        <v>179385.62</v>
      </c>
    </row>
    <row r="243" spans="1:14">
      <c r="A243" s="489" t="s">
        <v>1755</v>
      </c>
      <c r="B243" s="18"/>
      <c r="C243" s="18"/>
      <c r="D243" s="18">
        <v>553441</v>
      </c>
      <c r="E243" s="18"/>
      <c r="F243" s="18"/>
      <c r="G243" s="18"/>
      <c r="H243" s="18"/>
      <c r="I243" s="18"/>
      <c r="J243" s="18"/>
      <c r="K243" s="18"/>
      <c r="L243" s="18"/>
      <c r="M243" s="18"/>
      <c r="N243" s="18">
        <v>553441</v>
      </c>
    </row>
    <row r="244" spans="1:14">
      <c r="A244" s="489" t="s">
        <v>1545</v>
      </c>
      <c r="B244" s="18"/>
      <c r="C244" s="18"/>
      <c r="D244" s="18">
        <v>1110259</v>
      </c>
      <c r="E244" s="18"/>
      <c r="F244" s="18"/>
      <c r="G244" s="18"/>
      <c r="H244" s="18"/>
      <c r="I244" s="18"/>
      <c r="J244" s="18"/>
      <c r="K244" s="18"/>
      <c r="L244" s="18"/>
      <c r="M244" s="18"/>
      <c r="N244" s="18">
        <v>1110259</v>
      </c>
    </row>
    <row r="245" spans="1:14">
      <c r="A245" s="489" t="s">
        <v>1335</v>
      </c>
      <c r="B245" s="18"/>
      <c r="C245" s="18"/>
      <c r="D245" s="18">
        <v>165000</v>
      </c>
      <c r="E245" s="18"/>
      <c r="F245" s="18"/>
      <c r="G245" s="18"/>
      <c r="H245" s="18"/>
      <c r="I245" s="18"/>
      <c r="J245" s="18"/>
      <c r="K245" s="18"/>
      <c r="L245" s="18"/>
      <c r="M245" s="18"/>
      <c r="N245" s="18">
        <v>165000</v>
      </c>
    </row>
    <row r="246" spans="1:14">
      <c r="A246" s="489" t="s">
        <v>1125</v>
      </c>
      <c r="B246" s="18"/>
      <c r="C246" s="18"/>
      <c r="D246" s="18">
        <v>0</v>
      </c>
      <c r="E246" s="18"/>
      <c r="F246" s="18"/>
      <c r="G246" s="18"/>
      <c r="H246" s="18"/>
      <c r="I246" s="18"/>
      <c r="J246" s="18"/>
      <c r="K246" s="18"/>
      <c r="L246" s="18"/>
      <c r="M246" s="18"/>
      <c r="N246" s="18">
        <v>0</v>
      </c>
    </row>
    <row r="247" spans="1:14">
      <c r="A247" s="489" t="s">
        <v>915</v>
      </c>
      <c r="B247" s="18"/>
      <c r="C247" s="18"/>
      <c r="D247" s="18">
        <v>179385.62</v>
      </c>
      <c r="E247" s="18"/>
      <c r="F247" s="18"/>
      <c r="G247" s="18"/>
      <c r="H247" s="18"/>
      <c r="I247" s="18"/>
      <c r="J247" s="18"/>
      <c r="K247" s="18"/>
      <c r="L247" s="18"/>
      <c r="M247" s="18"/>
      <c r="N247" s="18">
        <v>179385.62</v>
      </c>
    </row>
    <row r="248" spans="1:14">
      <c r="A248" s="347" t="s">
        <v>1773</v>
      </c>
      <c r="B248" s="18"/>
      <c r="C248" s="18"/>
      <c r="D248" s="18">
        <v>553441</v>
      </c>
      <c r="E248" s="18"/>
      <c r="F248" s="18"/>
      <c r="G248" s="18"/>
      <c r="H248" s="18"/>
      <c r="I248" s="18"/>
      <c r="J248" s="18"/>
      <c r="K248" s="18"/>
      <c r="L248" s="18"/>
      <c r="M248" s="18"/>
      <c r="N248" s="18">
        <v>553441</v>
      </c>
    </row>
    <row r="249" spans="1:14">
      <c r="A249" s="347" t="s">
        <v>1563</v>
      </c>
      <c r="B249" s="18"/>
      <c r="C249" s="18"/>
      <c r="D249" s="18">
        <v>1110259</v>
      </c>
      <c r="E249" s="18"/>
      <c r="F249" s="18"/>
      <c r="G249" s="18"/>
      <c r="H249" s="18"/>
      <c r="I249" s="18"/>
      <c r="J249" s="18"/>
      <c r="K249" s="18"/>
      <c r="L249" s="18"/>
      <c r="M249" s="18"/>
      <c r="N249" s="18">
        <v>1110259</v>
      </c>
    </row>
    <row r="250" spans="1:14">
      <c r="A250" s="347" t="s">
        <v>1353</v>
      </c>
      <c r="B250" s="18"/>
      <c r="C250" s="18"/>
      <c r="D250" s="18">
        <v>165000</v>
      </c>
      <c r="E250" s="18"/>
      <c r="F250" s="18"/>
      <c r="G250" s="18"/>
      <c r="H250" s="18"/>
      <c r="I250" s="18"/>
      <c r="J250" s="18"/>
      <c r="K250" s="18"/>
      <c r="L250" s="18"/>
      <c r="M250" s="18"/>
      <c r="N250" s="18">
        <v>165000</v>
      </c>
    </row>
    <row r="251" spans="1:14">
      <c r="A251" s="347" t="s">
        <v>1143</v>
      </c>
      <c r="B251" s="18"/>
      <c r="C251" s="18"/>
      <c r="D251" s="18">
        <v>0</v>
      </c>
      <c r="E251" s="18"/>
      <c r="F251" s="18"/>
      <c r="G251" s="18"/>
      <c r="H251" s="18"/>
      <c r="I251" s="18"/>
      <c r="J251" s="18"/>
      <c r="K251" s="18"/>
      <c r="L251" s="18"/>
      <c r="M251" s="18"/>
      <c r="N251" s="18">
        <v>0</v>
      </c>
    </row>
    <row r="252" spans="1:14">
      <c r="A252" s="347" t="s">
        <v>933</v>
      </c>
      <c r="B252" s="18"/>
      <c r="C252" s="18"/>
      <c r="D252" s="18">
        <v>179385.62</v>
      </c>
      <c r="E252" s="18"/>
      <c r="F252" s="18"/>
      <c r="G252" s="18"/>
      <c r="H252" s="18"/>
      <c r="I252" s="18"/>
      <c r="J252" s="18"/>
      <c r="K252" s="18"/>
      <c r="L252" s="18"/>
      <c r="M252" s="18"/>
      <c r="N252" s="18">
        <v>179385.62</v>
      </c>
    </row>
    <row r="253" spans="1:14">
      <c r="A253" s="19" t="s">
        <v>1774</v>
      </c>
      <c r="B253" s="18"/>
      <c r="C253" s="18"/>
      <c r="D253" s="18">
        <v>553441</v>
      </c>
      <c r="E253" s="18"/>
      <c r="F253" s="18"/>
      <c r="G253" s="18"/>
      <c r="H253" s="18"/>
      <c r="I253" s="18"/>
      <c r="J253" s="18"/>
      <c r="K253" s="18"/>
      <c r="L253" s="18"/>
      <c r="M253" s="18"/>
      <c r="N253" s="18">
        <v>553441</v>
      </c>
    </row>
    <row r="254" spans="1:14">
      <c r="A254" s="19" t="s">
        <v>1564</v>
      </c>
      <c r="B254" s="18"/>
      <c r="C254" s="18"/>
      <c r="D254" s="18">
        <v>1110259</v>
      </c>
      <c r="E254" s="18"/>
      <c r="F254" s="18"/>
      <c r="G254" s="18"/>
      <c r="H254" s="18"/>
      <c r="I254" s="18"/>
      <c r="J254" s="18"/>
      <c r="K254" s="18"/>
      <c r="L254" s="18"/>
      <c r="M254" s="18"/>
      <c r="N254" s="18">
        <v>1110259</v>
      </c>
    </row>
    <row r="255" spans="1:14">
      <c r="A255" s="19" t="s">
        <v>1354</v>
      </c>
      <c r="B255" s="18"/>
      <c r="C255" s="18"/>
      <c r="D255" s="18">
        <v>165000</v>
      </c>
      <c r="E255" s="18"/>
      <c r="F255" s="18"/>
      <c r="G255" s="18"/>
      <c r="H255" s="18"/>
      <c r="I255" s="18"/>
      <c r="J255" s="18"/>
      <c r="K255" s="18"/>
      <c r="L255" s="18"/>
      <c r="M255" s="18"/>
      <c r="N255" s="18">
        <v>165000</v>
      </c>
    </row>
    <row r="256" spans="1:14">
      <c r="A256" s="19" t="s">
        <v>1144</v>
      </c>
      <c r="B256" s="18"/>
      <c r="C256" s="18"/>
      <c r="D256" s="18">
        <v>0</v>
      </c>
      <c r="E256" s="18"/>
      <c r="F256" s="18"/>
      <c r="G256" s="18"/>
      <c r="H256" s="18"/>
      <c r="I256" s="18"/>
      <c r="J256" s="18"/>
      <c r="K256" s="18"/>
      <c r="L256" s="18"/>
      <c r="M256" s="18"/>
      <c r="N256" s="18">
        <v>0</v>
      </c>
    </row>
    <row r="257" spans="1:14">
      <c r="A257" s="19" t="s">
        <v>934</v>
      </c>
      <c r="B257" s="18"/>
      <c r="C257" s="18"/>
      <c r="D257" s="18">
        <v>179385.62</v>
      </c>
      <c r="E257" s="18"/>
      <c r="F257" s="18"/>
      <c r="G257" s="18"/>
      <c r="H257" s="18"/>
      <c r="I257" s="18"/>
      <c r="J257" s="18"/>
      <c r="K257" s="18"/>
      <c r="L257" s="18"/>
      <c r="M257" s="18"/>
      <c r="N257" s="18">
        <v>179385.62</v>
      </c>
    </row>
    <row r="258" spans="1:14">
      <c r="A258" s="4" t="s">
        <v>1775</v>
      </c>
      <c r="B258" s="18"/>
      <c r="C258" s="18"/>
      <c r="D258" s="18">
        <v>553441</v>
      </c>
      <c r="E258" s="18"/>
      <c r="F258" s="18"/>
      <c r="G258" s="18"/>
      <c r="H258" s="18"/>
      <c r="I258" s="18"/>
      <c r="J258" s="18"/>
      <c r="K258" s="18"/>
      <c r="L258" s="18"/>
      <c r="M258" s="18"/>
      <c r="N258" s="18">
        <v>553441</v>
      </c>
    </row>
    <row r="259" spans="1:14">
      <c r="A259" s="4" t="s">
        <v>1565</v>
      </c>
      <c r="B259" s="18"/>
      <c r="C259" s="18"/>
      <c r="D259" s="18">
        <v>1110259</v>
      </c>
      <c r="E259" s="18"/>
      <c r="F259" s="18"/>
      <c r="G259" s="18"/>
      <c r="H259" s="18"/>
      <c r="I259" s="18"/>
      <c r="J259" s="18"/>
      <c r="K259" s="18"/>
      <c r="L259" s="18"/>
      <c r="M259" s="18"/>
      <c r="N259" s="18">
        <v>1110259</v>
      </c>
    </row>
    <row r="260" spans="1:14">
      <c r="A260" s="4" t="s">
        <v>1355</v>
      </c>
      <c r="B260" s="18"/>
      <c r="C260" s="18"/>
      <c r="D260" s="18">
        <v>165000</v>
      </c>
      <c r="E260" s="18"/>
      <c r="F260" s="18"/>
      <c r="G260" s="18"/>
      <c r="H260" s="18"/>
      <c r="I260" s="18"/>
      <c r="J260" s="18"/>
      <c r="K260" s="18"/>
      <c r="L260" s="18"/>
      <c r="M260" s="18"/>
      <c r="N260" s="18">
        <v>165000</v>
      </c>
    </row>
    <row r="261" spans="1:14">
      <c r="A261" s="4" t="s">
        <v>1145</v>
      </c>
      <c r="B261" s="18"/>
      <c r="C261" s="18"/>
      <c r="D261" s="18">
        <v>0</v>
      </c>
      <c r="E261" s="18"/>
      <c r="F261" s="18"/>
      <c r="G261" s="18"/>
      <c r="H261" s="18"/>
      <c r="I261" s="18"/>
      <c r="J261" s="18"/>
      <c r="K261" s="18"/>
      <c r="L261" s="18"/>
      <c r="M261" s="18"/>
      <c r="N261" s="18">
        <v>0</v>
      </c>
    </row>
    <row r="262" spans="1:14">
      <c r="A262" s="4" t="s">
        <v>935</v>
      </c>
      <c r="B262" s="18"/>
      <c r="C262" s="18"/>
      <c r="D262" s="18">
        <v>179385.62</v>
      </c>
      <c r="E262" s="18"/>
      <c r="F262" s="18"/>
      <c r="G262" s="18"/>
      <c r="H262" s="18"/>
      <c r="I262" s="18"/>
      <c r="J262" s="18"/>
      <c r="K262" s="18"/>
      <c r="L262" s="18"/>
      <c r="M262" s="18"/>
      <c r="N262" s="18">
        <v>179385.62</v>
      </c>
    </row>
    <row r="263" spans="1:14">
      <c r="A263" s="4">
        <v>614225</v>
      </c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</row>
    <row r="264" spans="1:14">
      <c r="A264" s="19">
        <v>1</v>
      </c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</row>
    <row r="265" spans="1:14">
      <c r="A265" s="347">
        <v>1199946</v>
      </c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</row>
    <row r="266" spans="1:14">
      <c r="A266" s="489">
        <v>0</v>
      </c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</row>
    <row r="267" spans="1:14">
      <c r="A267" s="753">
        <v>81677.029566819663</v>
      </c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</row>
    <row r="268" spans="1:14">
      <c r="A268" s="754" t="s">
        <v>898</v>
      </c>
      <c r="B268" s="18"/>
      <c r="C268" s="18"/>
      <c r="D268" s="18"/>
      <c r="E268" s="18"/>
      <c r="F268" s="18">
        <v>614225</v>
      </c>
      <c r="G268" s="18"/>
      <c r="H268" s="18"/>
      <c r="I268" s="18"/>
      <c r="J268" s="18"/>
      <c r="K268" s="18"/>
      <c r="L268" s="18"/>
      <c r="M268" s="18"/>
      <c r="N268" s="18">
        <v>614225</v>
      </c>
    </row>
    <row r="269" spans="1:14">
      <c r="A269" s="754" t="s">
        <v>901</v>
      </c>
      <c r="B269" s="18"/>
      <c r="C269" s="18"/>
      <c r="D269" s="18"/>
      <c r="E269" s="18"/>
      <c r="F269" s="18">
        <v>1199946</v>
      </c>
      <c r="G269" s="18"/>
      <c r="H269" s="18"/>
      <c r="I269" s="18"/>
      <c r="J269" s="18"/>
      <c r="K269" s="18"/>
      <c r="L269" s="18"/>
      <c r="M269" s="18"/>
      <c r="N269" s="18">
        <v>1199946</v>
      </c>
    </row>
    <row r="270" spans="1:14">
      <c r="A270" s="754" t="s">
        <v>903</v>
      </c>
      <c r="B270" s="18"/>
      <c r="C270" s="18"/>
      <c r="D270" s="18"/>
      <c r="E270" s="18"/>
      <c r="F270" s="18">
        <v>1</v>
      </c>
      <c r="G270" s="18"/>
      <c r="H270" s="18"/>
      <c r="I270" s="18"/>
      <c r="J270" s="18"/>
      <c r="K270" s="18"/>
      <c r="L270" s="18"/>
      <c r="M270" s="18"/>
      <c r="N270" s="18">
        <v>1</v>
      </c>
    </row>
    <row r="271" spans="1:14">
      <c r="A271" s="754" t="s">
        <v>905</v>
      </c>
      <c r="B271" s="18"/>
      <c r="C271" s="18"/>
      <c r="D271" s="18"/>
      <c r="E271" s="18"/>
      <c r="F271" s="18">
        <v>0</v>
      </c>
      <c r="G271" s="18"/>
      <c r="H271" s="18"/>
      <c r="I271" s="18"/>
      <c r="J271" s="18"/>
      <c r="K271" s="18"/>
      <c r="L271" s="18"/>
      <c r="M271" s="18"/>
      <c r="N271" s="18">
        <v>0</v>
      </c>
    </row>
    <row r="272" spans="1:14">
      <c r="A272" s="754" t="s">
        <v>174</v>
      </c>
      <c r="B272" s="18"/>
      <c r="C272" s="18"/>
      <c r="D272" s="18"/>
      <c r="E272" s="18"/>
      <c r="F272" s="18">
        <v>81677.029566819663</v>
      </c>
      <c r="G272" s="18"/>
      <c r="H272" s="18"/>
      <c r="I272" s="18"/>
      <c r="J272" s="18"/>
      <c r="K272" s="18"/>
      <c r="L272" s="18"/>
      <c r="M272" s="18"/>
      <c r="N272" s="18">
        <v>81677.029566819663</v>
      </c>
    </row>
    <row r="273" spans="1:14">
      <c r="A273" s="489" t="s">
        <v>1755</v>
      </c>
      <c r="B273" s="18"/>
      <c r="C273" s="18"/>
      <c r="D273" s="18"/>
      <c r="E273" s="18"/>
      <c r="F273" s="18">
        <v>614225</v>
      </c>
      <c r="G273" s="18"/>
      <c r="H273" s="18"/>
      <c r="I273" s="18"/>
      <c r="J273" s="18"/>
      <c r="K273" s="18"/>
      <c r="L273" s="18"/>
      <c r="M273" s="18"/>
      <c r="N273" s="18">
        <v>614225</v>
      </c>
    </row>
    <row r="274" spans="1:14">
      <c r="A274" s="489" t="s">
        <v>1545</v>
      </c>
      <c r="B274" s="18"/>
      <c r="C274" s="18"/>
      <c r="D274" s="18"/>
      <c r="E274" s="18"/>
      <c r="F274" s="18">
        <v>1199946</v>
      </c>
      <c r="G274" s="18"/>
      <c r="H274" s="18"/>
      <c r="I274" s="18"/>
      <c r="J274" s="18"/>
      <c r="K274" s="18"/>
      <c r="L274" s="18"/>
      <c r="M274" s="18"/>
      <c r="N274" s="18">
        <v>1199946</v>
      </c>
    </row>
    <row r="275" spans="1:14">
      <c r="A275" s="489" t="s">
        <v>1335</v>
      </c>
      <c r="B275" s="18"/>
      <c r="C275" s="18"/>
      <c r="D275" s="18"/>
      <c r="E275" s="18"/>
      <c r="F275" s="18">
        <v>1</v>
      </c>
      <c r="G275" s="18"/>
      <c r="H275" s="18"/>
      <c r="I275" s="18"/>
      <c r="J275" s="18"/>
      <c r="K275" s="18"/>
      <c r="L275" s="18"/>
      <c r="M275" s="18"/>
      <c r="N275" s="18">
        <v>1</v>
      </c>
    </row>
    <row r="276" spans="1:14">
      <c r="A276" s="489" t="s">
        <v>1125</v>
      </c>
      <c r="B276" s="18"/>
      <c r="C276" s="18"/>
      <c r="D276" s="18"/>
      <c r="E276" s="18"/>
      <c r="F276" s="18">
        <v>0</v>
      </c>
      <c r="G276" s="18"/>
      <c r="H276" s="18"/>
      <c r="I276" s="18"/>
      <c r="J276" s="18"/>
      <c r="K276" s="18"/>
      <c r="L276" s="18"/>
      <c r="M276" s="18"/>
      <c r="N276" s="18">
        <v>0</v>
      </c>
    </row>
    <row r="277" spans="1:14">
      <c r="A277" s="489" t="s">
        <v>915</v>
      </c>
      <c r="B277" s="18"/>
      <c r="C277" s="18"/>
      <c r="D277" s="18"/>
      <c r="E277" s="18"/>
      <c r="F277" s="18">
        <v>81677.029566819663</v>
      </c>
      <c r="G277" s="18"/>
      <c r="H277" s="18"/>
      <c r="I277" s="18"/>
      <c r="J277" s="18"/>
      <c r="K277" s="18"/>
      <c r="L277" s="18"/>
      <c r="M277" s="18"/>
      <c r="N277" s="18">
        <v>81677.029566819663</v>
      </c>
    </row>
    <row r="278" spans="1:14">
      <c r="A278" s="347" t="s">
        <v>1776</v>
      </c>
      <c r="B278" s="18"/>
      <c r="C278" s="18"/>
      <c r="D278" s="18"/>
      <c r="E278" s="18"/>
      <c r="F278" s="18">
        <v>614225</v>
      </c>
      <c r="G278" s="18"/>
      <c r="H278" s="18"/>
      <c r="I278" s="18"/>
      <c r="J278" s="18"/>
      <c r="K278" s="18"/>
      <c r="L278" s="18"/>
      <c r="M278" s="18"/>
      <c r="N278" s="18">
        <v>614225</v>
      </c>
    </row>
    <row r="279" spans="1:14">
      <c r="A279" s="347" t="s">
        <v>1566</v>
      </c>
      <c r="B279" s="18"/>
      <c r="C279" s="18"/>
      <c r="D279" s="18"/>
      <c r="E279" s="18"/>
      <c r="F279" s="18">
        <v>1199946</v>
      </c>
      <c r="G279" s="18"/>
      <c r="H279" s="18"/>
      <c r="I279" s="18"/>
      <c r="J279" s="18"/>
      <c r="K279" s="18"/>
      <c r="L279" s="18"/>
      <c r="M279" s="18"/>
      <c r="N279" s="18">
        <v>1199946</v>
      </c>
    </row>
    <row r="280" spans="1:14">
      <c r="A280" s="347" t="s">
        <v>1356</v>
      </c>
      <c r="B280" s="18"/>
      <c r="C280" s="18"/>
      <c r="D280" s="18"/>
      <c r="E280" s="18"/>
      <c r="F280" s="18">
        <v>1</v>
      </c>
      <c r="G280" s="18"/>
      <c r="H280" s="18"/>
      <c r="I280" s="18"/>
      <c r="J280" s="18"/>
      <c r="K280" s="18"/>
      <c r="L280" s="18"/>
      <c r="M280" s="18"/>
      <c r="N280" s="18">
        <v>1</v>
      </c>
    </row>
    <row r="281" spans="1:14">
      <c r="A281" s="347" t="s">
        <v>1146</v>
      </c>
      <c r="B281" s="18"/>
      <c r="C281" s="18"/>
      <c r="D281" s="18"/>
      <c r="E281" s="18"/>
      <c r="F281" s="18">
        <v>0</v>
      </c>
      <c r="G281" s="18"/>
      <c r="H281" s="18"/>
      <c r="I281" s="18"/>
      <c r="J281" s="18"/>
      <c r="K281" s="18"/>
      <c r="L281" s="18"/>
      <c r="M281" s="18"/>
      <c r="N281" s="18">
        <v>0</v>
      </c>
    </row>
    <row r="282" spans="1:14">
      <c r="A282" s="347" t="s">
        <v>936</v>
      </c>
      <c r="B282" s="18"/>
      <c r="C282" s="18"/>
      <c r="D282" s="18"/>
      <c r="E282" s="18"/>
      <c r="F282" s="18">
        <v>81677.029566819663</v>
      </c>
      <c r="G282" s="18"/>
      <c r="H282" s="18"/>
      <c r="I282" s="18"/>
      <c r="J282" s="18"/>
      <c r="K282" s="18"/>
      <c r="L282" s="18"/>
      <c r="M282" s="18"/>
      <c r="N282" s="18">
        <v>81677.029566819663</v>
      </c>
    </row>
    <row r="283" spans="1:14">
      <c r="A283" s="19" t="s">
        <v>1777</v>
      </c>
      <c r="B283" s="18"/>
      <c r="C283" s="18"/>
      <c r="D283" s="18"/>
      <c r="E283" s="18"/>
      <c r="F283" s="18">
        <v>614225</v>
      </c>
      <c r="G283" s="18"/>
      <c r="H283" s="18"/>
      <c r="I283" s="18"/>
      <c r="J283" s="18"/>
      <c r="K283" s="18"/>
      <c r="L283" s="18"/>
      <c r="M283" s="18"/>
      <c r="N283" s="18">
        <v>614225</v>
      </c>
    </row>
    <row r="284" spans="1:14">
      <c r="A284" s="19" t="s">
        <v>1567</v>
      </c>
      <c r="B284" s="18"/>
      <c r="C284" s="18"/>
      <c r="D284" s="18"/>
      <c r="E284" s="18"/>
      <c r="F284" s="18">
        <v>1199946</v>
      </c>
      <c r="G284" s="18"/>
      <c r="H284" s="18"/>
      <c r="I284" s="18"/>
      <c r="J284" s="18"/>
      <c r="K284" s="18"/>
      <c r="L284" s="18"/>
      <c r="M284" s="18"/>
      <c r="N284" s="18">
        <v>1199946</v>
      </c>
    </row>
    <row r="285" spans="1:14">
      <c r="A285" s="19" t="s">
        <v>1357</v>
      </c>
      <c r="B285" s="18"/>
      <c r="C285" s="18"/>
      <c r="D285" s="18"/>
      <c r="E285" s="18"/>
      <c r="F285" s="18">
        <v>1</v>
      </c>
      <c r="G285" s="18"/>
      <c r="H285" s="18"/>
      <c r="I285" s="18"/>
      <c r="J285" s="18"/>
      <c r="K285" s="18"/>
      <c r="L285" s="18"/>
      <c r="M285" s="18"/>
      <c r="N285" s="18">
        <v>1</v>
      </c>
    </row>
    <row r="286" spans="1:14">
      <c r="A286" s="19" t="s">
        <v>1147</v>
      </c>
      <c r="B286" s="18"/>
      <c r="C286" s="18"/>
      <c r="D286" s="18"/>
      <c r="E286" s="18"/>
      <c r="F286" s="18">
        <v>0</v>
      </c>
      <c r="G286" s="18"/>
      <c r="H286" s="18"/>
      <c r="I286" s="18"/>
      <c r="J286" s="18"/>
      <c r="K286" s="18"/>
      <c r="L286" s="18"/>
      <c r="M286" s="18"/>
      <c r="N286" s="18">
        <v>0</v>
      </c>
    </row>
    <row r="287" spans="1:14">
      <c r="A287" s="19" t="s">
        <v>937</v>
      </c>
      <c r="B287" s="18"/>
      <c r="C287" s="18"/>
      <c r="D287" s="18"/>
      <c r="E287" s="18"/>
      <c r="F287" s="18">
        <v>81677.029566819663</v>
      </c>
      <c r="G287" s="18"/>
      <c r="H287" s="18"/>
      <c r="I287" s="18"/>
      <c r="J287" s="18"/>
      <c r="K287" s="18"/>
      <c r="L287" s="18"/>
      <c r="M287" s="18"/>
      <c r="N287" s="18">
        <v>81677.029566819663</v>
      </c>
    </row>
    <row r="288" spans="1:14">
      <c r="A288" s="4" t="s">
        <v>1778</v>
      </c>
      <c r="B288" s="18"/>
      <c r="C288" s="18"/>
      <c r="D288" s="18"/>
      <c r="E288" s="18"/>
      <c r="F288" s="18">
        <v>614225</v>
      </c>
      <c r="G288" s="18"/>
      <c r="H288" s="18"/>
      <c r="I288" s="18"/>
      <c r="J288" s="18"/>
      <c r="K288" s="18"/>
      <c r="L288" s="18"/>
      <c r="M288" s="18"/>
      <c r="N288" s="18">
        <v>614225</v>
      </c>
    </row>
    <row r="289" spans="1:14">
      <c r="A289" s="4" t="s">
        <v>1568</v>
      </c>
      <c r="B289" s="18"/>
      <c r="C289" s="18"/>
      <c r="D289" s="18"/>
      <c r="E289" s="18"/>
      <c r="F289" s="18">
        <v>1199946</v>
      </c>
      <c r="G289" s="18"/>
      <c r="H289" s="18"/>
      <c r="I289" s="18"/>
      <c r="J289" s="18"/>
      <c r="K289" s="18"/>
      <c r="L289" s="18"/>
      <c r="M289" s="18"/>
      <c r="N289" s="18">
        <v>1199946</v>
      </c>
    </row>
    <row r="290" spans="1:14">
      <c r="A290" s="4" t="s">
        <v>1358</v>
      </c>
      <c r="B290" s="18"/>
      <c r="C290" s="18"/>
      <c r="D290" s="18"/>
      <c r="E290" s="18"/>
      <c r="F290" s="18">
        <v>1</v>
      </c>
      <c r="G290" s="18"/>
      <c r="H290" s="18"/>
      <c r="I290" s="18"/>
      <c r="J290" s="18"/>
      <c r="K290" s="18"/>
      <c r="L290" s="18"/>
      <c r="M290" s="18"/>
      <c r="N290" s="18">
        <v>1</v>
      </c>
    </row>
    <row r="291" spans="1:14">
      <c r="A291" s="4" t="s">
        <v>1148</v>
      </c>
      <c r="B291" s="18"/>
      <c r="C291" s="18"/>
      <c r="D291" s="18"/>
      <c r="E291" s="18"/>
      <c r="F291" s="18">
        <v>0</v>
      </c>
      <c r="G291" s="18"/>
      <c r="H291" s="18"/>
      <c r="I291" s="18"/>
      <c r="J291" s="18"/>
      <c r="K291" s="18"/>
      <c r="L291" s="18"/>
      <c r="M291" s="18"/>
      <c r="N291" s="18">
        <v>0</v>
      </c>
    </row>
    <row r="292" spans="1:14">
      <c r="A292" s="4" t="s">
        <v>938</v>
      </c>
      <c r="B292" s="18"/>
      <c r="C292" s="18"/>
      <c r="D292" s="18"/>
      <c r="E292" s="18"/>
      <c r="F292" s="18">
        <v>81677.029566819663</v>
      </c>
      <c r="G292" s="18"/>
      <c r="H292" s="18"/>
      <c r="I292" s="18"/>
      <c r="J292" s="18"/>
      <c r="K292" s="18"/>
      <c r="L292" s="18"/>
      <c r="M292" s="18"/>
      <c r="N292" s="18">
        <v>81677.029566819663</v>
      </c>
    </row>
    <row r="293" spans="1:14">
      <c r="A293" s="4">
        <v>642565</v>
      </c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</row>
    <row r="294" spans="1:14">
      <c r="A294" s="19">
        <v>500000</v>
      </c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</row>
    <row r="295" spans="1:14">
      <c r="A295" s="347">
        <v>1260196</v>
      </c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</row>
    <row r="296" spans="1:14">
      <c r="A296" s="489">
        <v>0</v>
      </c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</row>
    <row r="297" spans="1:14">
      <c r="A297" s="753">
        <v>23860</v>
      </c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</row>
    <row r="298" spans="1:14">
      <c r="A298" s="754" t="s">
        <v>898</v>
      </c>
      <c r="B298" s="18"/>
      <c r="C298" s="18"/>
      <c r="D298" s="18"/>
      <c r="E298" s="18">
        <v>642565</v>
      </c>
      <c r="F298" s="18"/>
      <c r="G298" s="18"/>
      <c r="H298" s="18"/>
      <c r="I298" s="18"/>
      <c r="J298" s="18"/>
      <c r="K298" s="18"/>
      <c r="L298" s="18"/>
      <c r="M298" s="18"/>
      <c r="N298" s="18">
        <v>642565</v>
      </c>
    </row>
    <row r="299" spans="1:14">
      <c r="A299" s="754" t="s">
        <v>901</v>
      </c>
      <c r="B299" s="18"/>
      <c r="C299" s="18"/>
      <c r="D299" s="18"/>
      <c r="E299" s="18">
        <v>1260196</v>
      </c>
      <c r="F299" s="18"/>
      <c r="G299" s="18"/>
      <c r="H299" s="18"/>
      <c r="I299" s="18"/>
      <c r="J299" s="18"/>
      <c r="K299" s="18"/>
      <c r="L299" s="18"/>
      <c r="M299" s="18"/>
      <c r="N299" s="18">
        <v>1260196</v>
      </c>
    </row>
    <row r="300" spans="1:14">
      <c r="A300" s="754" t="s">
        <v>903</v>
      </c>
      <c r="B300" s="18"/>
      <c r="C300" s="18"/>
      <c r="D300" s="18"/>
      <c r="E300" s="18">
        <v>500000</v>
      </c>
      <c r="F300" s="18"/>
      <c r="G300" s="18"/>
      <c r="H300" s="18"/>
      <c r="I300" s="18"/>
      <c r="J300" s="18"/>
      <c r="K300" s="18"/>
      <c r="L300" s="18"/>
      <c r="M300" s="18"/>
      <c r="N300" s="18">
        <v>500000</v>
      </c>
    </row>
    <row r="301" spans="1:14">
      <c r="A301" s="754" t="s">
        <v>905</v>
      </c>
      <c r="B301" s="18"/>
      <c r="C301" s="18"/>
      <c r="D301" s="18"/>
      <c r="E301" s="18">
        <v>0</v>
      </c>
      <c r="F301" s="18"/>
      <c r="G301" s="18"/>
      <c r="H301" s="18"/>
      <c r="I301" s="18"/>
      <c r="J301" s="18"/>
      <c r="K301" s="18"/>
      <c r="L301" s="18"/>
      <c r="M301" s="18"/>
      <c r="N301" s="18">
        <v>0</v>
      </c>
    </row>
    <row r="302" spans="1:14">
      <c r="A302" s="754" t="s">
        <v>174</v>
      </c>
      <c r="B302" s="18"/>
      <c r="C302" s="18"/>
      <c r="D302" s="18"/>
      <c r="E302" s="18">
        <v>23860</v>
      </c>
      <c r="F302" s="18"/>
      <c r="G302" s="18"/>
      <c r="H302" s="18"/>
      <c r="I302" s="18"/>
      <c r="J302" s="18"/>
      <c r="K302" s="18"/>
      <c r="L302" s="18"/>
      <c r="M302" s="18"/>
      <c r="N302" s="18">
        <v>23860</v>
      </c>
    </row>
    <row r="303" spans="1:14">
      <c r="A303" s="489" t="s">
        <v>1755</v>
      </c>
      <c r="B303" s="18"/>
      <c r="C303" s="18"/>
      <c r="D303" s="18"/>
      <c r="E303" s="18">
        <v>642565</v>
      </c>
      <c r="F303" s="18"/>
      <c r="G303" s="18"/>
      <c r="H303" s="18"/>
      <c r="I303" s="18"/>
      <c r="J303" s="18"/>
      <c r="K303" s="18"/>
      <c r="L303" s="18"/>
      <c r="M303" s="18"/>
      <c r="N303" s="18">
        <v>642565</v>
      </c>
    </row>
    <row r="304" spans="1:14">
      <c r="A304" s="489" t="s">
        <v>1545</v>
      </c>
      <c r="B304" s="18"/>
      <c r="C304" s="18"/>
      <c r="D304" s="18"/>
      <c r="E304" s="18">
        <v>1260196</v>
      </c>
      <c r="F304" s="18"/>
      <c r="G304" s="18"/>
      <c r="H304" s="18"/>
      <c r="I304" s="18"/>
      <c r="J304" s="18"/>
      <c r="K304" s="18"/>
      <c r="L304" s="18"/>
      <c r="M304" s="18"/>
      <c r="N304" s="18">
        <v>1260196</v>
      </c>
    </row>
    <row r="305" spans="1:14">
      <c r="A305" s="489" t="s">
        <v>1335</v>
      </c>
      <c r="B305" s="18"/>
      <c r="C305" s="18"/>
      <c r="D305" s="18"/>
      <c r="E305" s="18">
        <v>500000</v>
      </c>
      <c r="F305" s="18"/>
      <c r="G305" s="18"/>
      <c r="H305" s="18"/>
      <c r="I305" s="18"/>
      <c r="J305" s="18"/>
      <c r="K305" s="18"/>
      <c r="L305" s="18"/>
      <c r="M305" s="18"/>
      <c r="N305" s="18">
        <v>500000</v>
      </c>
    </row>
    <row r="306" spans="1:14">
      <c r="A306" s="489" t="s">
        <v>1125</v>
      </c>
      <c r="B306" s="18"/>
      <c r="C306" s="18"/>
      <c r="D306" s="18"/>
      <c r="E306" s="18">
        <v>0</v>
      </c>
      <c r="F306" s="18"/>
      <c r="G306" s="18"/>
      <c r="H306" s="18"/>
      <c r="I306" s="18"/>
      <c r="J306" s="18"/>
      <c r="K306" s="18"/>
      <c r="L306" s="18"/>
      <c r="M306" s="18"/>
      <c r="N306" s="18">
        <v>0</v>
      </c>
    </row>
    <row r="307" spans="1:14">
      <c r="A307" s="489" t="s">
        <v>915</v>
      </c>
      <c r="B307" s="18"/>
      <c r="C307" s="18"/>
      <c r="D307" s="18"/>
      <c r="E307" s="18">
        <v>23860</v>
      </c>
      <c r="F307" s="18"/>
      <c r="G307" s="18"/>
      <c r="H307" s="18"/>
      <c r="I307" s="18"/>
      <c r="J307" s="18"/>
      <c r="K307" s="18"/>
      <c r="L307" s="18"/>
      <c r="M307" s="18"/>
      <c r="N307" s="18">
        <v>23860</v>
      </c>
    </row>
    <row r="308" spans="1:14">
      <c r="A308" s="347" t="s">
        <v>1779</v>
      </c>
      <c r="B308" s="18"/>
      <c r="C308" s="18"/>
      <c r="D308" s="18"/>
      <c r="E308" s="18">
        <v>642565</v>
      </c>
      <c r="F308" s="18"/>
      <c r="G308" s="18"/>
      <c r="H308" s="18"/>
      <c r="I308" s="18"/>
      <c r="J308" s="18"/>
      <c r="K308" s="18"/>
      <c r="L308" s="18"/>
      <c r="M308" s="18"/>
      <c r="N308" s="18">
        <v>642565</v>
      </c>
    </row>
    <row r="309" spans="1:14">
      <c r="A309" s="347" t="s">
        <v>1569</v>
      </c>
      <c r="B309" s="18"/>
      <c r="C309" s="18"/>
      <c r="D309" s="18"/>
      <c r="E309" s="18">
        <v>1260196</v>
      </c>
      <c r="F309" s="18"/>
      <c r="G309" s="18"/>
      <c r="H309" s="18"/>
      <c r="I309" s="18"/>
      <c r="J309" s="18"/>
      <c r="K309" s="18"/>
      <c r="L309" s="18"/>
      <c r="M309" s="18"/>
      <c r="N309" s="18">
        <v>1260196</v>
      </c>
    </row>
    <row r="310" spans="1:14">
      <c r="A310" s="347" t="s">
        <v>1359</v>
      </c>
      <c r="B310" s="18"/>
      <c r="C310" s="18"/>
      <c r="D310" s="18"/>
      <c r="E310" s="18">
        <v>500000</v>
      </c>
      <c r="F310" s="18"/>
      <c r="G310" s="18"/>
      <c r="H310" s="18"/>
      <c r="I310" s="18"/>
      <c r="J310" s="18"/>
      <c r="K310" s="18"/>
      <c r="L310" s="18"/>
      <c r="M310" s="18"/>
      <c r="N310" s="18">
        <v>500000</v>
      </c>
    </row>
    <row r="311" spans="1:14">
      <c r="A311" s="347" t="s">
        <v>1149</v>
      </c>
      <c r="B311" s="18"/>
      <c r="C311" s="18"/>
      <c r="D311" s="18"/>
      <c r="E311" s="18">
        <v>0</v>
      </c>
      <c r="F311" s="18"/>
      <c r="G311" s="18"/>
      <c r="H311" s="18"/>
      <c r="I311" s="18"/>
      <c r="J311" s="18"/>
      <c r="K311" s="18"/>
      <c r="L311" s="18"/>
      <c r="M311" s="18"/>
      <c r="N311" s="18">
        <v>0</v>
      </c>
    </row>
    <row r="312" spans="1:14">
      <c r="A312" s="347" t="s">
        <v>939</v>
      </c>
      <c r="B312" s="18"/>
      <c r="C312" s="18"/>
      <c r="D312" s="18"/>
      <c r="E312" s="18">
        <v>23860</v>
      </c>
      <c r="F312" s="18"/>
      <c r="G312" s="18"/>
      <c r="H312" s="18"/>
      <c r="I312" s="18"/>
      <c r="J312" s="18"/>
      <c r="K312" s="18"/>
      <c r="L312" s="18"/>
      <c r="M312" s="18"/>
      <c r="N312" s="18">
        <v>23860</v>
      </c>
    </row>
    <row r="313" spans="1:14">
      <c r="A313" s="19" t="s">
        <v>1780</v>
      </c>
      <c r="B313" s="18"/>
      <c r="C313" s="18"/>
      <c r="D313" s="18"/>
      <c r="E313" s="18">
        <v>642565</v>
      </c>
      <c r="F313" s="18"/>
      <c r="G313" s="18"/>
      <c r="H313" s="18"/>
      <c r="I313" s="18"/>
      <c r="J313" s="18"/>
      <c r="K313" s="18"/>
      <c r="L313" s="18"/>
      <c r="M313" s="18"/>
      <c r="N313" s="18">
        <v>642565</v>
      </c>
    </row>
    <row r="314" spans="1:14">
      <c r="A314" s="19" t="s">
        <v>1570</v>
      </c>
      <c r="B314" s="18"/>
      <c r="C314" s="18"/>
      <c r="D314" s="18"/>
      <c r="E314" s="18">
        <v>1260196</v>
      </c>
      <c r="F314" s="18"/>
      <c r="G314" s="18"/>
      <c r="H314" s="18"/>
      <c r="I314" s="18"/>
      <c r="J314" s="18"/>
      <c r="K314" s="18"/>
      <c r="L314" s="18"/>
      <c r="M314" s="18"/>
      <c r="N314" s="18">
        <v>1260196</v>
      </c>
    </row>
    <row r="315" spans="1:14">
      <c r="A315" s="19" t="s">
        <v>1360</v>
      </c>
      <c r="B315" s="18"/>
      <c r="C315" s="18"/>
      <c r="D315" s="18"/>
      <c r="E315" s="18">
        <v>500000</v>
      </c>
      <c r="F315" s="18"/>
      <c r="G315" s="18"/>
      <c r="H315" s="18"/>
      <c r="I315" s="18"/>
      <c r="J315" s="18"/>
      <c r="K315" s="18"/>
      <c r="L315" s="18"/>
      <c r="M315" s="18"/>
      <c r="N315" s="18">
        <v>500000</v>
      </c>
    </row>
    <row r="316" spans="1:14">
      <c r="A316" s="19" t="s">
        <v>1150</v>
      </c>
      <c r="B316" s="18"/>
      <c r="C316" s="18"/>
      <c r="D316" s="18"/>
      <c r="E316" s="18">
        <v>0</v>
      </c>
      <c r="F316" s="18"/>
      <c r="G316" s="18"/>
      <c r="H316" s="18"/>
      <c r="I316" s="18"/>
      <c r="J316" s="18"/>
      <c r="K316" s="18"/>
      <c r="L316" s="18"/>
      <c r="M316" s="18"/>
      <c r="N316" s="18">
        <v>0</v>
      </c>
    </row>
    <row r="317" spans="1:14">
      <c r="A317" s="19" t="s">
        <v>940</v>
      </c>
      <c r="B317" s="18"/>
      <c r="C317" s="18"/>
      <c r="D317" s="18"/>
      <c r="E317" s="18">
        <v>23860</v>
      </c>
      <c r="F317" s="18"/>
      <c r="G317" s="18"/>
      <c r="H317" s="18"/>
      <c r="I317" s="18"/>
      <c r="J317" s="18"/>
      <c r="K317" s="18"/>
      <c r="L317" s="18"/>
      <c r="M317" s="18"/>
      <c r="N317" s="18">
        <v>23860</v>
      </c>
    </row>
    <row r="318" spans="1:14">
      <c r="A318" s="4" t="s">
        <v>1781</v>
      </c>
      <c r="B318" s="18"/>
      <c r="C318" s="18"/>
      <c r="D318" s="18"/>
      <c r="E318" s="18">
        <v>642565</v>
      </c>
      <c r="F318" s="18"/>
      <c r="G318" s="18"/>
      <c r="H318" s="18"/>
      <c r="I318" s="18"/>
      <c r="J318" s="18"/>
      <c r="K318" s="18"/>
      <c r="L318" s="18"/>
      <c r="M318" s="18"/>
      <c r="N318" s="18">
        <v>642565</v>
      </c>
    </row>
    <row r="319" spans="1:14">
      <c r="A319" s="4" t="s">
        <v>1571</v>
      </c>
      <c r="B319" s="18"/>
      <c r="C319" s="18"/>
      <c r="D319" s="18"/>
      <c r="E319" s="18">
        <v>1260196</v>
      </c>
      <c r="F319" s="18"/>
      <c r="G319" s="18"/>
      <c r="H319" s="18"/>
      <c r="I319" s="18"/>
      <c r="J319" s="18"/>
      <c r="K319" s="18"/>
      <c r="L319" s="18"/>
      <c r="M319" s="18"/>
      <c r="N319" s="18">
        <v>1260196</v>
      </c>
    </row>
    <row r="320" spans="1:14">
      <c r="A320" s="4" t="s">
        <v>1361</v>
      </c>
      <c r="B320" s="18"/>
      <c r="C320" s="18"/>
      <c r="D320" s="18"/>
      <c r="E320" s="18">
        <v>500000</v>
      </c>
      <c r="F320" s="18"/>
      <c r="G320" s="18"/>
      <c r="H320" s="18"/>
      <c r="I320" s="18"/>
      <c r="J320" s="18"/>
      <c r="K320" s="18"/>
      <c r="L320" s="18"/>
      <c r="M320" s="18"/>
      <c r="N320" s="18">
        <v>500000</v>
      </c>
    </row>
    <row r="321" spans="1:14">
      <c r="A321" s="4" t="s">
        <v>1151</v>
      </c>
      <c r="B321" s="18"/>
      <c r="C321" s="18"/>
      <c r="D321" s="18"/>
      <c r="E321" s="18">
        <v>0</v>
      </c>
      <c r="F321" s="18"/>
      <c r="G321" s="18"/>
      <c r="H321" s="18"/>
      <c r="I321" s="18"/>
      <c r="J321" s="18"/>
      <c r="K321" s="18"/>
      <c r="L321" s="18"/>
      <c r="M321" s="18"/>
      <c r="N321" s="18">
        <v>0</v>
      </c>
    </row>
    <row r="322" spans="1:14">
      <c r="A322" s="4" t="s">
        <v>941</v>
      </c>
      <c r="B322" s="18"/>
      <c r="C322" s="18"/>
      <c r="D322" s="18"/>
      <c r="E322" s="18">
        <v>23860</v>
      </c>
      <c r="F322" s="18"/>
      <c r="G322" s="18"/>
      <c r="H322" s="18"/>
      <c r="I322" s="18"/>
      <c r="J322" s="18"/>
      <c r="K322" s="18"/>
      <c r="L322" s="18"/>
      <c r="M322" s="18"/>
      <c r="N322" s="18">
        <v>23860</v>
      </c>
    </row>
    <row r="323" spans="1:14">
      <c r="A323" s="4">
        <v>706398.49</v>
      </c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</row>
    <row r="324" spans="1:14">
      <c r="A324" s="19">
        <v>60000</v>
      </c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</row>
    <row r="325" spans="1:14">
      <c r="A325" s="347">
        <v>1041347.98</v>
      </c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</row>
    <row r="326" spans="1:14">
      <c r="A326" s="489">
        <v>430</v>
      </c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</row>
    <row r="327" spans="1:14">
      <c r="A327" s="753">
        <v>90483</v>
      </c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</row>
    <row r="328" spans="1:14">
      <c r="A328" s="754" t="s">
        <v>898</v>
      </c>
      <c r="B328" s="18"/>
      <c r="C328" s="18"/>
      <c r="D328" s="18">
        <v>706398.49</v>
      </c>
      <c r="E328" s="18"/>
      <c r="F328" s="18"/>
      <c r="G328" s="18"/>
      <c r="H328" s="18"/>
      <c r="I328" s="18"/>
      <c r="J328" s="18"/>
      <c r="K328" s="18"/>
      <c r="L328" s="18"/>
      <c r="M328" s="18"/>
      <c r="N328" s="18">
        <v>706398.49</v>
      </c>
    </row>
    <row r="329" spans="1:14">
      <c r="A329" s="754" t="s">
        <v>901</v>
      </c>
      <c r="B329" s="18"/>
      <c r="C329" s="18"/>
      <c r="D329" s="18">
        <v>1041347.98</v>
      </c>
      <c r="E329" s="18"/>
      <c r="F329" s="18"/>
      <c r="G329" s="18"/>
      <c r="H329" s="18"/>
      <c r="I329" s="18"/>
      <c r="J329" s="18"/>
      <c r="K329" s="18"/>
      <c r="L329" s="18"/>
      <c r="M329" s="18"/>
      <c r="N329" s="18">
        <v>1041347.98</v>
      </c>
    </row>
    <row r="330" spans="1:14">
      <c r="A330" s="754" t="s">
        <v>903</v>
      </c>
      <c r="B330" s="18"/>
      <c r="C330" s="18"/>
      <c r="D330" s="18">
        <v>60000</v>
      </c>
      <c r="E330" s="18"/>
      <c r="F330" s="18"/>
      <c r="G330" s="18"/>
      <c r="H330" s="18"/>
      <c r="I330" s="18"/>
      <c r="J330" s="18"/>
      <c r="K330" s="18"/>
      <c r="L330" s="18"/>
      <c r="M330" s="18"/>
      <c r="N330" s="18">
        <v>60000</v>
      </c>
    </row>
    <row r="331" spans="1:14">
      <c r="A331" s="754" t="s">
        <v>905</v>
      </c>
      <c r="B331" s="18"/>
      <c r="C331" s="18"/>
      <c r="D331" s="18">
        <v>430</v>
      </c>
      <c r="E331" s="18"/>
      <c r="F331" s="18"/>
      <c r="G331" s="18"/>
      <c r="H331" s="18"/>
      <c r="I331" s="18"/>
      <c r="J331" s="18"/>
      <c r="K331" s="18"/>
      <c r="L331" s="18"/>
      <c r="M331" s="18"/>
      <c r="N331" s="18">
        <v>430</v>
      </c>
    </row>
    <row r="332" spans="1:14">
      <c r="A332" s="754" t="s">
        <v>174</v>
      </c>
      <c r="B332" s="18"/>
      <c r="C332" s="18"/>
      <c r="D332" s="18">
        <v>90483</v>
      </c>
      <c r="E332" s="18"/>
      <c r="F332" s="18"/>
      <c r="G332" s="18"/>
      <c r="H332" s="18"/>
      <c r="I332" s="18"/>
      <c r="J332" s="18"/>
      <c r="K332" s="18"/>
      <c r="L332" s="18"/>
      <c r="M332" s="18"/>
      <c r="N332" s="18">
        <v>90483</v>
      </c>
    </row>
    <row r="333" spans="1:14">
      <c r="A333" s="489" t="s">
        <v>1782</v>
      </c>
      <c r="B333" s="18"/>
      <c r="C333" s="18"/>
      <c r="D333" s="18">
        <v>706398.49</v>
      </c>
      <c r="E333" s="18"/>
      <c r="F333" s="18"/>
      <c r="G333" s="18"/>
      <c r="H333" s="18"/>
      <c r="I333" s="18"/>
      <c r="J333" s="18"/>
      <c r="K333" s="18"/>
      <c r="L333" s="18"/>
      <c r="M333" s="18"/>
      <c r="N333" s="18">
        <v>706398.49</v>
      </c>
    </row>
    <row r="334" spans="1:14">
      <c r="A334" s="489" t="s">
        <v>1572</v>
      </c>
      <c r="B334" s="18"/>
      <c r="C334" s="18"/>
      <c r="D334" s="18">
        <v>1041347.98</v>
      </c>
      <c r="E334" s="18"/>
      <c r="F334" s="18"/>
      <c r="G334" s="18"/>
      <c r="H334" s="18"/>
      <c r="I334" s="18"/>
      <c r="J334" s="18"/>
      <c r="K334" s="18"/>
      <c r="L334" s="18"/>
      <c r="M334" s="18"/>
      <c r="N334" s="18">
        <v>1041347.98</v>
      </c>
    </row>
    <row r="335" spans="1:14">
      <c r="A335" s="489" t="s">
        <v>1362</v>
      </c>
      <c r="B335" s="18"/>
      <c r="C335" s="18"/>
      <c r="D335" s="18">
        <v>60000</v>
      </c>
      <c r="E335" s="18"/>
      <c r="F335" s="18"/>
      <c r="G335" s="18"/>
      <c r="H335" s="18"/>
      <c r="I335" s="18"/>
      <c r="J335" s="18"/>
      <c r="K335" s="18"/>
      <c r="L335" s="18"/>
      <c r="M335" s="18"/>
      <c r="N335" s="18">
        <v>60000</v>
      </c>
    </row>
    <row r="336" spans="1:14">
      <c r="A336" s="489" t="s">
        <v>1152</v>
      </c>
      <c r="B336" s="18"/>
      <c r="C336" s="18"/>
      <c r="D336" s="18">
        <v>430</v>
      </c>
      <c r="E336" s="18"/>
      <c r="F336" s="18"/>
      <c r="G336" s="18"/>
      <c r="H336" s="18"/>
      <c r="I336" s="18"/>
      <c r="J336" s="18"/>
      <c r="K336" s="18"/>
      <c r="L336" s="18"/>
      <c r="M336" s="18"/>
      <c r="N336" s="18">
        <v>430</v>
      </c>
    </row>
    <row r="337" spans="1:14">
      <c r="A337" s="489" t="s">
        <v>942</v>
      </c>
      <c r="B337" s="18"/>
      <c r="C337" s="18"/>
      <c r="D337" s="18">
        <v>90483</v>
      </c>
      <c r="E337" s="18"/>
      <c r="F337" s="18"/>
      <c r="G337" s="18"/>
      <c r="H337" s="18"/>
      <c r="I337" s="18"/>
      <c r="J337" s="18"/>
      <c r="K337" s="18"/>
      <c r="L337" s="18"/>
      <c r="M337" s="18"/>
      <c r="N337" s="18">
        <v>90483</v>
      </c>
    </row>
    <row r="338" spans="1:14">
      <c r="A338" s="347" t="s">
        <v>1783</v>
      </c>
      <c r="B338" s="18"/>
      <c r="C338" s="18"/>
      <c r="D338" s="18">
        <v>706398.49</v>
      </c>
      <c r="E338" s="18"/>
      <c r="F338" s="18"/>
      <c r="G338" s="18"/>
      <c r="H338" s="18"/>
      <c r="I338" s="18"/>
      <c r="J338" s="18"/>
      <c r="K338" s="18"/>
      <c r="L338" s="18"/>
      <c r="M338" s="18"/>
      <c r="N338" s="18">
        <v>706398.49</v>
      </c>
    </row>
    <row r="339" spans="1:14">
      <c r="A339" s="347" t="s">
        <v>1573</v>
      </c>
      <c r="B339" s="18"/>
      <c r="C339" s="18"/>
      <c r="D339" s="18">
        <v>1041347.98</v>
      </c>
      <c r="E339" s="18"/>
      <c r="F339" s="18"/>
      <c r="G339" s="18"/>
      <c r="H339" s="18"/>
      <c r="I339" s="18"/>
      <c r="J339" s="18"/>
      <c r="K339" s="18"/>
      <c r="L339" s="18"/>
      <c r="M339" s="18"/>
      <c r="N339" s="18">
        <v>1041347.98</v>
      </c>
    </row>
    <row r="340" spans="1:14">
      <c r="A340" s="347" t="s">
        <v>1363</v>
      </c>
      <c r="B340" s="18"/>
      <c r="C340" s="18"/>
      <c r="D340" s="18">
        <v>60000</v>
      </c>
      <c r="E340" s="18"/>
      <c r="F340" s="18"/>
      <c r="G340" s="18"/>
      <c r="H340" s="18"/>
      <c r="I340" s="18"/>
      <c r="J340" s="18"/>
      <c r="K340" s="18"/>
      <c r="L340" s="18"/>
      <c r="M340" s="18"/>
      <c r="N340" s="18">
        <v>60000</v>
      </c>
    </row>
    <row r="341" spans="1:14">
      <c r="A341" s="347" t="s">
        <v>1153</v>
      </c>
      <c r="B341" s="18"/>
      <c r="C341" s="18"/>
      <c r="D341" s="18">
        <v>430</v>
      </c>
      <c r="E341" s="18"/>
      <c r="F341" s="18"/>
      <c r="G341" s="18"/>
      <c r="H341" s="18"/>
      <c r="I341" s="18"/>
      <c r="J341" s="18"/>
      <c r="K341" s="18"/>
      <c r="L341" s="18"/>
      <c r="M341" s="18"/>
      <c r="N341" s="18">
        <v>430</v>
      </c>
    </row>
    <row r="342" spans="1:14">
      <c r="A342" s="347" t="s">
        <v>943</v>
      </c>
      <c r="B342" s="18"/>
      <c r="C342" s="18"/>
      <c r="D342" s="18">
        <v>90483</v>
      </c>
      <c r="E342" s="18"/>
      <c r="F342" s="18"/>
      <c r="G342" s="18"/>
      <c r="H342" s="18"/>
      <c r="I342" s="18"/>
      <c r="J342" s="18"/>
      <c r="K342" s="18"/>
      <c r="L342" s="18"/>
      <c r="M342" s="18"/>
      <c r="N342" s="18">
        <v>90483</v>
      </c>
    </row>
    <row r="343" spans="1:14">
      <c r="A343" s="19" t="s">
        <v>1784</v>
      </c>
      <c r="B343" s="18"/>
      <c r="C343" s="18"/>
      <c r="D343" s="18">
        <v>706398.49</v>
      </c>
      <c r="E343" s="18"/>
      <c r="F343" s="18"/>
      <c r="G343" s="18"/>
      <c r="H343" s="18"/>
      <c r="I343" s="18"/>
      <c r="J343" s="18"/>
      <c r="K343" s="18"/>
      <c r="L343" s="18"/>
      <c r="M343" s="18"/>
      <c r="N343" s="18">
        <v>706398.49</v>
      </c>
    </row>
    <row r="344" spans="1:14">
      <c r="A344" s="19" t="s">
        <v>1574</v>
      </c>
      <c r="B344" s="18"/>
      <c r="C344" s="18"/>
      <c r="D344" s="18">
        <v>1041347.98</v>
      </c>
      <c r="E344" s="18"/>
      <c r="F344" s="18"/>
      <c r="G344" s="18"/>
      <c r="H344" s="18"/>
      <c r="I344" s="18"/>
      <c r="J344" s="18"/>
      <c r="K344" s="18"/>
      <c r="L344" s="18"/>
      <c r="M344" s="18"/>
      <c r="N344" s="18">
        <v>1041347.98</v>
      </c>
    </row>
    <row r="345" spans="1:14">
      <c r="A345" s="19" t="s">
        <v>1364</v>
      </c>
      <c r="B345" s="18"/>
      <c r="C345" s="18"/>
      <c r="D345" s="18">
        <v>60000</v>
      </c>
      <c r="E345" s="18"/>
      <c r="F345" s="18"/>
      <c r="G345" s="18"/>
      <c r="H345" s="18"/>
      <c r="I345" s="18"/>
      <c r="J345" s="18"/>
      <c r="K345" s="18"/>
      <c r="L345" s="18"/>
      <c r="M345" s="18"/>
      <c r="N345" s="18">
        <v>60000</v>
      </c>
    </row>
    <row r="346" spans="1:14">
      <c r="A346" s="19" t="s">
        <v>1154</v>
      </c>
      <c r="B346" s="18"/>
      <c r="C346" s="18"/>
      <c r="D346" s="18">
        <v>430</v>
      </c>
      <c r="E346" s="18"/>
      <c r="F346" s="18"/>
      <c r="G346" s="18"/>
      <c r="H346" s="18"/>
      <c r="I346" s="18"/>
      <c r="J346" s="18"/>
      <c r="K346" s="18"/>
      <c r="L346" s="18"/>
      <c r="M346" s="18"/>
      <c r="N346" s="18">
        <v>430</v>
      </c>
    </row>
    <row r="347" spans="1:14">
      <c r="A347" s="19" t="s">
        <v>944</v>
      </c>
      <c r="B347" s="18"/>
      <c r="C347" s="18"/>
      <c r="D347" s="18">
        <v>90483</v>
      </c>
      <c r="E347" s="18"/>
      <c r="F347" s="18"/>
      <c r="G347" s="18"/>
      <c r="H347" s="18"/>
      <c r="I347" s="18"/>
      <c r="J347" s="18"/>
      <c r="K347" s="18"/>
      <c r="L347" s="18"/>
      <c r="M347" s="18"/>
      <c r="N347" s="18">
        <v>90483</v>
      </c>
    </row>
    <row r="348" spans="1:14">
      <c r="A348" s="4" t="s">
        <v>1785</v>
      </c>
      <c r="B348" s="18"/>
      <c r="C348" s="18"/>
      <c r="D348" s="18">
        <v>706398.49</v>
      </c>
      <c r="E348" s="18"/>
      <c r="F348" s="18"/>
      <c r="G348" s="18"/>
      <c r="H348" s="18"/>
      <c r="I348" s="18"/>
      <c r="J348" s="18"/>
      <c r="K348" s="18"/>
      <c r="L348" s="18"/>
      <c r="M348" s="18"/>
      <c r="N348" s="18">
        <v>706398.49</v>
      </c>
    </row>
    <row r="349" spans="1:14">
      <c r="A349" s="4" t="s">
        <v>1575</v>
      </c>
      <c r="B349" s="18"/>
      <c r="C349" s="18"/>
      <c r="D349" s="18">
        <v>1041347.98</v>
      </c>
      <c r="E349" s="18"/>
      <c r="F349" s="18"/>
      <c r="G349" s="18"/>
      <c r="H349" s="18"/>
      <c r="I349" s="18"/>
      <c r="J349" s="18"/>
      <c r="K349" s="18"/>
      <c r="L349" s="18"/>
      <c r="M349" s="18"/>
      <c r="N349" s="18">
        <v>1041347.98</v>
      </c>
    </row>
    <row r="350" spans="1:14">
      <c r="A350" s="4" t="s">
        <v>1365</v>
      </c>
      <c r="B350" s="18"/>
      <c r="C350" s="18"/>
      <c r="D350" s="18">
        <v>60000</v>
      </c>
      <c r="E350" s="18"/>
      <c r="F350" s="18"/>
      <c r="G350" s="18"/>
      <c r="H350" s="18"/>
      <c r="I350" s="18"/>
      <c r="J350" s="18"/>
      <c r="K350" s="18"/>
      <c r="L350" s="18"/>
      <c r="M350" s="18"/>
      <c r="N350" s="18">
        <v>60000</v>
      </c>
    </row>
    <row r="351" spans="1:14">
      <c r="A351" s="4" t="s">
        <v>1155</v>
      </c>
      <c r="B351" s="18"/>
      <c r="C351" s="18"/>
      <c r="D351" s="18">
        <v>430</v>
      </c>
      <c r="E351" s="18"/>
      <c r="F351" s="18"/>
      <c r="G351" s="18"/>
      <c r="H351" s="18"/>
      <c r="I351" s="18"/>
      <c r="J351" s="18"/>
      <c r="K351" s="18"/>
      <c r="L351" s="18"/>
      <c r="M351" s="18"/>
      <c r="N351" s="18">
        <v>430</v>
      </c>
    </row>
    <row r="352" spans="1:14">
      <c r="A352" s="4" t="s">
        <v>945</v>
      </c>
      <c r="B352" s="18"/>
      <c r="C352" s="18"/>
      <c r="D352" s="18">
        <v>90483</v>
      </c>
      <c r="E352" s="18"/>
      <c r="F352" s="18"/>
      <c r="G352" s="18"/>
      <c r="H352" s="18"/>
      <c r="I352" s="18"/>
      <c r="J352" s="18"/>
      <c r="K352" s="18"/>
      <c r="L352" s="18"/>
      <c r="M352" s="18"/>
      <c r="N352" s="18">
        <v>90483</v>
      </c>
    </row>
    <row r="353" spans="1:14">
      <c r="A353" s="4">
        <v>736924</v>
      </c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</row>
    <row r="354" spans="1:14">
      <c r="A354" s="19">
        <v>432000</v>
      </c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</row>
    <row r="355" spans="1:14">
      <c r="A355" s="347">
        <v>1490303</v>
      </c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</row>
    <row r="356" spans="1:14">
      <c r="A356" s="489">
        <v>0</v>
      </c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</row>
    <row r="357" spans="1:14">
      <c r="A357" s="753">
        <v>688998.25569579669</v>
      </c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</row>
    <row r="358" spans="1:14">
      <c r="A358" s="754" t="s">
        <v>898</v>
      </c>
      <c r="B358" s="18"/>
      <c r="C358" s="18"/>
      <c r="D358" s="18"/>
      <c r="E358" s="18">
        <v>736924</v>
      </c>
      <c r="F358" s="18"/>
      <c r="G358" s="18"/>
      <c r="H358" s="18"/>
      <c r="I358" s="18"/>
      <c r="J358" s="18"/>
      <c r="K358" s="18"/>
      <c r="L358" s="18"/>
      <c r="M358" s="18"/>
      <c r="N358" s="18">
        <v>736924</v>
      </c>
    </row>
    <row r="359" spans="1:14">
      <c r="A359" s="754" t="s">
        <v>901</v>
      </c>
      <c r="B359" s="18"/>
      <c r="C359" s="18"/>
      <c r="D359" s="18"/>
      <c r="E359" s="18">
        <v>1490303</v>
      </c>
      <c r="F359" s="18"/>
      <c r="G359" s="18"/>
      <c r="H359" s="18"/>
      <c r="I359" s="18"/>
      <c r="J359" s="18"/>
      <c r="K359" s="18"/>
      <c r="L359" s="18"/>
      <c r="M359" s="18"/>
      <c r="N359" s="18">
        <v>1490303</v>
      </c>
    </row>
    <row r="360" spans="1:14">
      <c r="A360" s="754" t="s">
        <v>903</v>
      </c>
      <c r="B360" s="18"/>
      <c r="C360" s="18"/>
      <c r="D360" s="18"/>
      <c r="E360" s="18">
        <v>432000</v>
      </c>
      <c r="F360" s="18"/>
      <c r="G360" s="18"/>
      <c r="H360" s="18"/>
      <c r="I360" s="18"/>
      <c r="J360" s="18"/>
      <c r="K360" s="18"/>
      <c r="L360" s="18"/>
      <c r="M360" s="18"/>
      <c r="N360" s="18">
        <v>432000</v>
      </c>
    </row>
    <row r="361" spans="1:14">
      <c r="A361" s="754" t="s">
        <v>905</v>
      </c>
      <c r="B361" s="18"/>
      <c r="C361" s="18"/>
      <c r="D361" s="18"/>
      <c r="E361" s="18">
        <v>0</v>
      </c>
      <c r="F361" s="18"/>
      <c r="G361" s="18"/>
      <c r="H361" s="18"/>
      <c r="I361" s="18"/>
      <c r="J361" s="18"/>
      <c r="K361" s="18"/>
      <c r="L361" s="18"/>
      <c r="M361" s="18"/>
      <c r="N361" s="18">
        <v>0</v>
      </c>
    </row>
    <row r="362" spans="1:14">
      <c r="A362" s="754" t="s">
        <v>174</v>
      </c>
      <c r="B362" s="18"/>
      <c r="C362" s="18"/>
      <c r="D362" s="18"/>
      <c r="E362" s="18">
        <v>688998.25569579669</v>
      </c>
      <c r="F362" s="18"/>
      <c r="G362" s="18"/>
      <c r="H362" s="18"/>
      <c r="I362" s="18"/>
      <c r="J362" s="18"/>
      <c r="K362" s="18"/>
      <c r="L362" s="18"/>
      <c r="M362" s="18"/>
      <c r="N362" s="18">
        <v>688998.25569579669</v>
      </c>
    </row>
    <row r="363" spans="1:14">
      <c r="A363" s="489" t="s">
        <v>1755</v>
      </c>
      <c r="B363" s="18"/>
      <c r="C363" s="18"/>
      <c r="D363" s="18"/>
      <c r="E363" s="18">
        <v>736924</v>
      </c>
      <c r="F363" s="18"/>
      <c r="G363" s="18"/>
      <c r="H363" s="18"/>
      <c r="I363" s="18"/>
      <c r="J363" s="18"/>
      <c r="K363" s="18"/>
      <c r="L363" s="18"/>
      <c r="M363" s="18"/>
      <c r="N363" s="18">
        <v>736924</v>
      </c>
    </row>
    <row r="364" spans="1:14">
      <c r="A364" s="489" t="s">
        <v>1545</v>
      </c>
      <c r="B364" s="18"/>
      <c r="C364" s="18"/>
      <c r="D364" s="18"/>
      <c r="E364" s="18">
        <v>1490303</v>
      </c>
      <c r="F364" s="18"/>
      <c r="G364" s="18"/>
      <c r="H364" s="18"/>
      <c r="I364" s="18"/>
      <c r="J364" s="18"/>
      <c r="K364" s="18"/>
      <c r="L364" s="18"/>
      <c r="M364" s="18"/>
      <c r="N364" s="18">
        <v>1490303</v>
      </c>
    </row>
    <row r="365" spans="1:14">
      <c r="A365" s="489" t="s">
        <v>1335</v>
      </c>
      <c r="B365" s="18"/>
      <c r="C365" s="18"/>
      <c r="D365" s="18"/>
      <c r="E365" s="18">
        <v>432000</v>
      </c>
      <c r="F365" s="18"/>
      <c r="G365" s="18"/>
      <c r="H365" s="18"/>
      <c r="I365" s="18"/>
      <c r="J365" s="18"/>
      <c r="K365" s="18"/>
      <c r="L365" s="18"/>
      <c r="M365" s="18"/>
      <c r="N365" s="18">
        <v>432000</v>
      </c>
    </row>
    <row r="366" spans="1:14">
      <c r="A366" s="489" t="s">
        <v>1125</v>
      </c>
      <c r="B366" s="18"/>
      <c r="C366" s="18"/>
      <c r="D366" s="18"/>
      <c r="E366" s="18">
        <v>0</v>
      </c>
      <c r="F366" s="18"/>
      <c r="G366" s="18"/>
      <c r="H366" s="18"/>
      <c r="I366" s="18"/>
      <c r="J366" s="18"/>
      <c r="K366" s="18"/>
      <c r="L366" s="18"/>
      <c r="M366" s="18"/>
      <c r="N366" s="18">
        <v>0</v>
      </c>
    </row>
    <row r="367" spans="1:14">
      <c r="A367" s="489" t="s">
        <v>915</v>
      </c>
      <c r="B367" s="18"/>
      <c r="C367" s="18"/>
      <c r="D367" s="18"/>
      <c r="E367" s="18">
        <v>688998.25569579669</v>
      </c>
      <c r="F367" s="18"/>
      <c r="G367" s="18"/>
      <c r="H367" s="18"/>
      <c r="I367" s="18"/>
      <c r="J367" s="18"/>
      <c r="K367" s="18"/>
      <c r="L367" s="18"/>
      <c r="M367" s="18"/>
      <c r="N367" s="18">
        <v>688998.25569579669</v>
      </c>
    </row>
    <row r="368" spans="1:14">
      <c r="A368" s="347" t="s">
        <v>1786</v>
      </c>
      <c r="B368" s="18"/>
      <c r="C368" s="18"/>
      <c r="D368" s="18"/>
      <c r="E368" s="18">
        <v>736924</v>
      </c>
      <c r="F368" s="18"/>
      <c r="G368" s="18"/>
      <c r="H368" s="18"/>
      <c r="I368" s="18"/>
      <c r="J368" s="18"/>
      <c r="K368" s="18"/>
      <c r="L368" s="18"/>
      <c r="M368" s="18"/>
      <c r="N368" s="18">
        <v>736924</v>
      </c>
    </row>
    <row r="369" spans="1:14">
      <c r="A369" s="347" t="s">
        <v>1576</v>
      </c>
      <c r="B369" s="18"/>
      <c r="C369" s="18"/>
      <c r="D369" s="18"/>
      <c r="E369" s="18">
        <v>1490303</v>
      </c>
      <c r="F369" s="18"/>
      <c r="G369" s="18"/>
      <c r="H369" s="18"/>
      <c r="I369" s="18"/>
      <c r="J369" s="18"/>
      <c r="K369" s="18"/>
      <c r="L369" s="18"/>
      <c r="M369" s="18"/>
      <c r="N369" s="18">
        <v>1490303</v>
      </c>
    </row>
    <row r="370" spans="1:14">
      <c r="A370" s="347" t="s">
        <v>1366</v>
      </c>
      <c r="B370" s="18"/>
      <c r="C370" s="18"/>
      <c r="D370" s="18"/>
      <c r="E370" s="18">
        <v>432000</v>
      </c>
      <c r="F370" s="18"/>
      <c r="G370" s="18"/>
      <c r="H370" s="18"/>
      <c r="I370" s="18"/>
      <c r="J370" s="18"/>
      <c r="K370" s="18"/>
      <c r="L370" s="18"/>
      <c r="M370" s="18"/>
      <c r="N370" s="18">
        <v>432000</v>
      </c>
    </row>
    <row r="371" spans="1:14">
      <c r="A371" s="347" t="s">
        <v>1156</v>
      </c>
      <c r="B371" s="18"/>
      <c r="C371" s="18"/>
      <c r="D371" s="18"/>
      <c r="E371" s="18">
        <v>0</v>
      </c>
      <c r="F371" s="18"/>
      <c r="G371" s="18"/>
      <c r="H371" s="18"/>
      <c r="I371" s="18"/>
      <c r="J371" s="18"/>
      <c r="K371" s="18"/>
      <c r="L371" s="18"/>
      <c r="M371" s="18"/>
      <c r="N371" s="18">
        <v>0</v>
      </c>
    </row>
    <row r="372" spans="1:14">
      <c r="A372" s="347" t="s">
        <v>946</v>
      </c>
      <c r="B372" s="18"/>
      <c r="C372" s="18"/>
      <c r="D372" s="18"/>
      <c r="E372" s="18">
        <v>688998.25569579669</v>
      </c>
      <c r="F372" s="18"/>
      <c r="G372" s="18"/>
      <c r="H372" s="18"/>
      <c r="I372" s="18"/>
      <c r="J372" s="18"/>
      <c r="K372" s="18"/>
      <c r="L372" s="18"/>
      <c r="M372" s="18"/>
      <c r="N372" s="18">
        <v>688998.25569579669</v>
      </c>
    </row>
    <row r="373" spans="1:14">
      <c r="A373" s="19" t="s">
        <v>1787</v>
      </c>
      <c r="B373" s="18"/>
      <c r="C373" s="18"/>
      <c r="D373" s="18"/>
      <c r="E373" s="18">
        <v>736924</v>
      </c>
      <c r="F373" s="18"/>
      <c r="G373" s="18"/>
      <c r="H373" s="18"/>
      <c r="I373" s="18"/>
      <c r="J373" s="18"/>
      <c r="K373" s="18"/>
      <c r="L373" s="18"/>
      <c r="M373" s="18"/>
      <c r="N373" s="18">
        <v>736924</v>
      </c>
    </row>
    <row r="374" spans="1:14">
      <c r="A374" s="19" t="s">
        <v>1577</v>
      </c>
      <c r="B374" s="18"/>
      <c r="C374" s="18"/>
      <c r="D374" s="18"/>
      <c r="E374" s="18">
        <v>1490303</v>
      </c>
      <c r="F374" s="18"/>
      <c r="G374" s="18"/>
      <c r="H374" s="18"/>
      <c r="I374" s="18"/>
      <c r="J374" s="18"/>
      <c r="K374" s="18"/>
      <c r="L374" s="18"/>
      <c r="M374" s="18"/>
      <c r="N374" s="18">
        <v>1490303</v>
      </c>
    </row>
    <row r="375" spans="1:14">
      <c r="A375" s="19" t="s">
        <v>1367</v>
      </c>
      <c r="B375" s="18"/>
      <c r="C375" s="18"/>
      <c r="D375" s="18"/>
      <c r="E375" s="18">
        <v>432000</v>
      </c>
      <c r="F375" s="18"/>
      <c r="G375" s="18"/>
      <c r="H375" s="18"/>
      <c r="I375" s="18"/>
      <c r="J375" s="18"/>
      <c r="K375" s="18"/>
      <c r="L375" s="18"/>
      <c r="M375" s="18"/>
      <c r="N375" s="18">
        <v>432000</v>
      </c>
    </row>
    <row r="376" spans="1:14">
      <c r="A376" s="19" t="s">
        <v>1157</v>
      </c>
      <c r="B376" s="18"/>
      <c r="C376" s="18"/>
      <c r="D376" s="18"/>
      <c r="E376" s="18">
        <v>0</v>
      </c>
      <c r="F376" s="18"/>
      <c r="G376" s="18"/>
      <c r="H376" s="18"/>
      <c r="I376" s="18"/>
      <c r="J376" s="18"/>
      <c r="K376" s="18"/>
      <c r="L376" s="18"/>
      <c r="M376" s="18"/>
      <c r="N376" s="18">
        <v>0</v>
      </c>
    </row>
    <row r="377" spans="1:14">
      <c r="A377" s="19" t="s">
        <v>947</v>
      </c>
      <c r="B377" s="18"/>
      <c r="C377" s="18"/>
      <c r="D377" s="18"/>
      <c r="E377" s="18">
        <v>688998.25569579669</v>
      </c>
      <c r="F377" s="18"/>
      <c r="G377" s="18"/>
      <c r="H377" s="18"/>
      <c r="I377" s="18"/>
      <c r="J377" s="18"/>
      <c r="K377" s="18"/>
      <c r="L377" s="18"/>
      <c r="M377" s="18"/>
      <c r="N377" s="18">
        <v>688998.25569579669</v>
      </c>
    </row>
    <row r="378" spans="1:14">
      <c r="A378" s="4" t="s">
        <v>1788</v>
      </c>
      <c r="B378" s="18"/>
      <c r="C378" s="18"/>
      <c r="D378" s="18"/>
      <c r="E378" s="18">
        <v>736924</v>
      </c>
      <c r="F378" s="18"/>
      <c r="G378" s="18"/>
      <c r="H378" s="18"/>
      <c r="I378" s="18"/>
      <c r="J378" s="18"/>
      <c r="K378" s="18"/>
      <c r="L378" s="18"/>
      <c r="M378" s="18"/>
      <c r="N378" s="18">
        <v>736924</v>
      </c>
    </row>
    <row r="379" spans="1:14">
      <c r="A379" s="4" t="s">
        <v>1578</v>
      </c>
      <c r="B379" s="18"/>
      <c r="C379" s="18"/>
      <c r="D379" s="18"/>
      <c r="E379" s="18">
        <v>1490303</v>
      </c>
      <c r="F379" s="18"/>
      <c r="G379" s="18"/>
      <c r="H379" s="18"/>
      <c r="I379" s="18"/>
      <c r="J379" s="18"/>
      <c r="K379" s="18"/>
      <c r="L379" s="18"/>
      <c r="M379" s="18"/>
      <c r="N379" s="18">
        <v>1490303</v>
      </c>
    </row>
    <row r="380" spans="1:14">
      <c r="A380" s="4" t="s">
        <v>1368</v>
      </c>
      <c r="B380" s="18"/>
      <c r="C380" s="18"/>
      <c r="D380" s="18"/>
      <c r="E380" s="18">
        <v>432000</v>
      </c>
      <c r="F380" s="18"/>
      <c r="G380" s="18"/>
      <c r="H380" s="18"/>
      <c r="I380" s="18"/>
      <c r="J380" s="18"/>
      <c r="K380" s="18"/>
      <c r="L380" s="18"/>
      <c r="M380" s="18"/>
      <c r="N380" s="18">
        <v>432000</v>
      </c>
    </row>
    <row r="381" spans="1:14">
      <c r="A381" s="4" t="s">
        <v>1158</v>
      </c>
      <c r="B381" s="18"/>
      <c r="C381" s="18"/>
      <c r="D381" s="18"/>
      <c r="E381" s="18">
        <v>0</v>
      </c>
      <c r="F381" s="18"/>
      <c r="G381" s="18"/>
      <c r="H381" s="18"/>
      <c r="I381" s="18"/>
      <c r="J381" s="18"/>
      <c r="K381" s="18"/>
      <c r="L381" s="18"/>
      <c r="M381" s="18"/>
      <c r="N381" s="18">
        <v>0</v>
      </c>
    </row>
    <row r="382" spans="1:14">
      <c r="A382" s="4" t="s">
        <v>948</v>
      </c>
      <c r="B382" s="18"/>
      <c r="C382" s="18"/>
      <c r="D382" s="18"/>
      <c r="E382" s="18">
        <v>688998.25569579669</v>
      </c>
      <c r="F382" s="18"/>
      <c r="G382" s="18"/>
      <c r="H382" s="18"/>
      <c r="I382" s="18"/>
      <c r="J382" s="18"/>
      <c r="K382" s="18"/>
      <c r="L382" s="18"/>
      <c r="M382" s="18"/>
      <c r="N382" s="18">
        <v>688998.25569579669</v>
      </c>
    </row>
    <row r="383" spans="1:14">
      <c r="A383" s="4">
        <v>745095</v>
      </c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</row>
    <row r="384" spans="1:14">
      <c r="A384" s="19">
        <v>89905</v>
      </c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</row>
    <row r="385" spans="1:14">
      <c r="A385" s="347">
        <v>1240121</v>
      </c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</row>
    <row r="386" spans="1:14">
      <c r="A386" s="489">
        <v>0</v>
      </c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</row>
    <row r="387" spans="1:14">
      <c r="A387" s="753">
        <v>123760</v>
      </c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</row>
    <row r="388" spans="1:14">
      <c r="A388" s="754" t="s">
        <v>898</v>
      </c>
      <c r="B388" s="18"/>
      <c r="C388" s="18"/>
      <c r="D388" s="18">
        <v>745095</v>
      </c>
      <c r="E388" s="18"/>
      <c r="F388" s="18"/>
      <c r="G388" s="18"/>
      <c r="H388" s="18"/>
      <c r="I388" s="18"/>
      <c r="J388" s="18"/>
      <c r="K388" s="18"/>
      <c r="L388" s="18"/>
      <c r="M388" s="18"/>
      <c r="N388" s="18">
        <v>745095</v>
      </c>
    </row>
    <row r="389" spans="1:14">
      <c r="A389" s="754" t="s">
        <v>901</v>
      </c>
      <c r="B389" s="18"/>
      <c r="C389" s="18"/>
      <c r="D389" s="18">
        <v>1240121</v>
      </c>
      <c r="E389" s="18"/>
      <c r="F389" s="18"/>
      <c r="G389" s="18"/>
      <c r="H389" s="18"/>
      <c r="I389" s="18"/>
      <c r="J389" s="18"/>
      <c r="K389" s="18"/>
      <c r="L389" s="18"/>
      <c r="M389" s="18"/>
      <c r="N389" s="18">
        <v>1240121</v>
      </c>
    </row>
    <row r="390" spans="1:14">
      <c r="A390" s="754" t="s">
        <v>903</v>
      </c>
      <c r="B390" s="18"/>
      <c r="C390" s="18"/>
      <c r="D390" s="18">
        <v>89905</v>
      </c>
      <c r="E390" s="18"/>
      <c r="F390" s="18"/>
      <c r="G390" s="18"/>
      <c r="H390" s="18"/>
      <c r="I390" s="18"/>
      <c r="J390" s="18"/>
      <c r="K390" s="18"/>
      <c r="L390" s="18"/>
      <c r="M390" s="18"/>
      <c r="N390" s="18">
        <v>89905</v>
      </c>
    </row>
    <row r="391" spans="1:14">
      <c r="A391" s="754" t="s">
        <v>905</v>
      </c>
      <c r="B391" s="18"/>
      <c r="C391" s="18"/>
      <c r="D391" s="18">
        <v>0</v>
      </c>
      <c r="E391" s="18"/>
      <c r="F391" s="18"/>
      <c r="G391" s="18"/>
      <c r="H391" s="18"/>
      <c r="I391" s="18"/>
      <c r="J391" s="18"/>
      <c r="K391" s="18"/>
      <c r="L391" s="18"/>
      <c r="M391" s="18"/>
      <c r="N391" s="18">
        <v>0</v>
      </c>
    </row>
    <row r="392" spans="1:14">
      <c r="A392" s="754" t="s">
        <v>174</v>
      </c>
      <c r="B392" s="18"/>
      <c r="C392" s="18"/>
      <c r="D392" s="18">
        <v>123760</v>
      </c>
      <c r="E392" s="18"/>
      <c r="F392" s="18"/>
      <c r="G392" s="18"/>
      <c r="H392" s="18"/>
      <c r="I392" s="18"/>
      <c r="J392" s="18"/>
      <c r="K392" s="18"/>
      <c r="L392" s="18"/>
      <c r="M392" s="18"/>
      <c r="N392" s="18">
        <v>123760</v>
      </c>
    </row>
    <row r="393" spans="1:14">
      <c r="A393" s="489" t="s">
        <v>1755</v>
      </c>
      <c r="B393" s="18"/>
      <c r="C393" s="18"/>
      <c r="D393" s="18">
        <v>745095</v>
      </c>
      <c r="E393" s="18"/>
      <c r="F393" s="18"/>
      <c r="G393" s="18"/>
      <c r="H393" s="18"/>
      <c r="I393" s="18"/>
      <c r="J393" s="18"/>
      <c r="K393" s="18"/>
      <c r="L393" s="18"/>
      <c r="M393" s="18"/>
      <c r="N393" s="18">
        <v>745095</v>
      </c>
    </row>
    <row r="394" spans="1:14">
      <c r="A394" s="489" t="s">
        <v>1545</v>
      </c>
      <c r="B394" s="18"/>
      <c r="C394" s="18"/>
      <c r="D394" s="18">
        <v>1240121</v>
      </c>
      <c r="E394" s="18"/>
      <c r="F394" s="18"/>
      <c r="G394" s="18"/>
      <c r="H394" s="18"/>
      <c r="I394" s="18"/>
      <c r="J394" s="18"/>
      <c r="K394" s="18"/>
      <c r="L394" s="18"/>
      <c r="M394" s="18"/>
      <c r="N394" s="18">
        <v>1240121</v>
      </c>
    </row>
    <row r="395" spans="1:14">
      <c r="A395" s="489" t="s">
        <v>1335</v>
      </c>
      <c r="B395" s="18"/>
      <c r="C395" s="18"/>
      <c r="D395" s="18">
        <v>89905</v>
      </c>
      <c r="E395" s="18"/>
      <c r="F395" s="18"/>
      <c r="G395" s="18"/>
      <c r="H395" s="18"/>
      <c r="I395" s="18"/>
      <c r="J395" s="18"/>
      <c r="K395" s="18"/>
      <c r="L395" s="18"/>
      <c r="M395" s="18"/>
      <c r="N395" s="18">
        <v>89905</v>
      </c>
    </row>
    <row r="396" spans="1:14">
      <c r="A396" s="489" t="s">
        <v>1125</v>
      </c>
      <c r="B396" s="18"/>
      <c r="C396" s="18"/>
      <c r="D396" s="18">
        <v>0</v>
      </c>
      <c r="E396" s="18"/>
      <c r="F396" s="18"/>
      <c r="G396" s="18"/>
      <c r="H396" s="18"/>
      <c r="I396" s="18"/>
      <c r="J396" s="18"/>
      <c r="K396" s="18"/>
      <c r="L396" s="18"/>
      <c r="M396" s="18"/>
      <c r="N396" s="18">
        <v>0</v>
      </c>
    </row>
    <row r="397" spans="1:14">
      <c r="A397" s="489" t="s">
        <v>915</v>
      </c>
      <c r="B397" s="18"/>
      <c r="C397" s="18"/>
      <c r="D397" s="18">
        <v>123760</v>
      </c>
      <c r="E397" s="18"/>
      <c r="F397" s="18"/>
      <c r="G397" s="18"/>
      <c r="H397" s="18"/>
      <c r="I397" s="18"/>
      <c r="J397" s="18"/>
      <c r="K397" s="18"/>
      <c r="L397" s="18"/>
      <c r="M397" s="18"/>
      <c r="N397" s="18">
        <v>123760</v>
      </c>
    </row>
    <row r="398" spans="1:14">
      <c r="A398" s="347" t="s">
        <v>1789</v>
      </c>
      <c r="B398" s="18"/>
      <c r="C398" s="18"/>
      <c r="D398" s="18">
        <v>745095</v>
      </c>
      <c r="E398" s="18"/>
      <c r="F398" s="18"/>
      <c r="G398" s="18"/>
      <c r="H398" s="18"/>
      <c r="I398" s="18"/>
      <c r="J398" s="18"/>
      <c r="K398" s="18"/>
      <c r="L398" s="18"/>
      <c r="M398" s="18"/>
      <c r="N398" s="18">
        <v>745095</v>
      </c>
    </row>
    <row r="399" spans="1:14">
      <c r="A399" s="347" t="s">
        <v>1579</v>
      </c>
      <c r="B399" s="18"/>
      <c r="C399" s="18"/>
      <c r="D399" s="18">
        <v>1240121</v>
      </c>
      <c r="E399" s="18"/>
      <c r="F399" s="18"/>
      <c r="G399" s="18"/>
      <c r="H399" s="18"/>
      <c r="I399" s="18"/>
      <c r="J399" s="18"/>
      <c r="K399" s="18"/>
      <c r="L399" s="18"/>
      <c r="M399" s="18"/>
      <c r="N399" s="18">
        <v>1240121</v>
      </c>
    </row>
    <row r="400" spans="1:14">
      <c r="A400" s="347" t="s">
        <v>1369</v>
      </c>
      <c r="B400" s="18"/>
      <c r="C400" s="18"/>
      <c r="D400" s="18">
        <v>89905</v>
      </c>
      <c r="E400" s="18"/>
      <c r="F400" s="18"/>
      <c r="G400" s="18"/>
      <c r="H400" s="18"/>
      <c r="I400" s="18"/>
      <c r="J400" s="18"/>
      <c r="K400" s="18"/>
      <c r="L400" s="18"/>
      <c r="M400" s="18"/>
      <c r="N400" s="18">
        <v>89905</v>
      </c>
    </row>
    <row r="401" spans="1:14">
      <c r="A401" s="347" t="s">
        <v>1159</v>
      </c>
      <c r="B401" s="18"/>
      <c r="C401" s="18"/>
      <c r="D401" s="18">
        <v>0</v>
      </c>
      <c r="E401" s="18"/>
      <c r="F401" s="18"/>
      <c r="G401" s="18"/>
      <c r="H401" s="18"/>
      <c r="I401" s="18"/>
      <c r="J401" s="18"/>
      <c r="K401" s="18"/>
      <c r="L401" s="18"/>
      <c r="M401" s="18"/>
      <c r="N401" s="18">
        <v>0</v>
      </c>
    </row>
    <row r="402" spans="1:14">
      <c r="A402" s="347" t="s">
        <v>949</v>
      </c>
      <c r="B402" s="18"/>
      <c r="C402" s="18"/>
      <c r="D402" s="18">
        <v>123760</v>
      </c>
      <c r="E402" s="18"/>
      <c r="F402" s="18"/>
      <c r="G402" s="18"/>
      <c r="H402" s="18"/>
      <c r="I402" s="18"/>
      <c r="J402" s="18"/>
      <c r="K402" s="18"/>
      <c r="L402" s="18"/>
      <c r="M402" s="18"/>
      <c r="N402" s="18">
        <v>123760</v>
      </c>
    </row>
    <row r="403" spans="1:14">
      <c r="A403" s="19" t="s">
        <v>1790</v>
      </c>
      <c r="B403" s="18"/>
      <c r="C403" s="18"/>
      <c r="D403" s="18">
        <v>745095</v>
      </c>
      <c r="E403" s="18"/>
      <c r="F403" s="18"/>
      <c r="G403" s="18"/>
      <c r="H403" s="18"/>
      <c r="I403" s="18"/>
      <c r="J403" s="18"/>
      <c r="K403" s="18"/>
      <c r="L403" s="18"/>
      <c r="M403" s="18"/>
      <c r="N403" s="18">
        <v>745095</v>
      </c>
    </row>
    <row r="404" spans="1:14">
      <c r="A404" s="19" t="s">
        <v>1580</v>
      </c>
      <c r="B404" s="18"/>
      <c r="C404" s="18"/>
      <c r="D404" s="18">
        <v>1240121</v>
      </c>
      <c r="E404" s="18"/>
      <c r="F404" s="18"/>
      <c r="G404" s="18"/>
      <c r="H404" s="18"/>
      <c r="I404" s="18"/>
      <c r="J404" s="18"/>
      <c r="K404" s="18"/>
      <c r="L404" s="18"/>
      <c r="M404" s="18"/>
      <c r="N404" s="18">
        <v>1240121</v>
      </c>
    </row>
    <row r="405" spans="1:14">
      <c r="A405" s="19" t="s">
        <v>1370</v>
      </c>
      <c r="B405" s="18"/>
      <c r="C405" s="18"/>
      <c r="D405" s="18">
        <v>89905</v>
      </c>
      <c r="E405" s="18"/>
      <c r="F405" s="18"/>
      <c r="G405" s="18"/>
      <c r="H405" s="18"/>
      <c r="I405" s="18"/>
      <c r="J405" s="18"/>
      <c r="K405" s="18"/>
      <c r="L405" s="18"/>
      <c r="M405" s="18"/>
      <c r="N405" s="18">
        <v>89905</v>
      </c>
    </row>
    <row r="406" spans="1:14">
      <c r="A406" s="19" t="s">
        <v>1160</v>
      </c>
      <c r="B406" s="18"/>
      <c r="C406" s="18"/>
      <c r="D406" s="18">
        <v>0</v>
      </c>
      <c r="E406" s="18"/>
      <c r="F406" s="18"/>
      <c r="G406" s="18"/>
      <c r="H406" s="18"/>
      <c r="I406" s="18"/>
      <c r="J406" s="18"/>
      <c r="K406" s="18"/>
      <c r="L406" s="18"/>
      <c r="M406" s="18"/>
      <c r="N406" s="18">
        <v>0</v>
      </c>
    </row>
    <row r="407" spans="1:14">
      <c r="A407" s="19" t="s">
        <v>950</v>
      </c>
      <c r="B407" s="18"/>
      <c r="C407" s="18"/>
      <c r="D407" s="18">
        <v>123760</v>
      </c>
      <c r="E407" s="18"/>
      <c r="F407" s="18"/>
      <c r="G407" s="18"/>
      <c r="H407" s="18"/>
      <c r="I407" s="18"/>
      <c r="J407" s="18"/>
      <c r="K407" s="18"/>
      <c r="L407" s="18"/>
      <c r="M407" s="18"/>
      <c r="N407" s="18">
        <v>123760</v>
      </c>
    </row>
    <row r="408" spans="1:14">
      <c r="A408" s="4" t="s">
        <v>1791</v>
      </c>
      <c r="B408" s="18"/>
      <c r="C408" s="18"/>
      <c r="D408" s="18">
        <v>745095</v>
      </c>
      <c r="E408" s="18"/>
      <c r="F408" s="18"/>
      <c r="G408" s="18"/>
      <c r="H408" s="18"/>
      <c r="I408" s="18"/>
      <c r="J408" s="18"/>
      <c r="K408" s="18"/>
      <c r="L408" s="18"/>
      <c r="M408" s="18"/>
      <c r="N408" s="18">
        <v>745095</v>
      </c>
    </row>
    <row r="409" spans="1:14">
      <c r="A409" s="4" t="s">
        <v>1581</v>
      </c>
      <c r="B409" s="18"/>
      <c r="C409" s="18"/>
      <c r="D409" s="18">
        <v>1240121</v>
      </c>
      <c r="E409" s="18"/>
      <c r="F409" s="18"/>
      <c r="G409" s="18"/>
      <c r="H409" s="18"/>
      <c r="I409" s="18"/>
      <c r="J409" s="18"/>
      <c r="K409" s="18"/>
      <c r="L409" s="18"/>
      <c r="M409" s="18"/>
      <c r="N409" s="18">
        <v>1240121</v>
      </c>
    </row>
    <row r="410" spans="1:14">
      <c r="A410" s="4" t="s">
        <v>1371</v>
      </c>
      <c r="B410" s="18"/>
      <c r="C410" s="18"/>
      <c r="D410" s="18">
        <v>89905</v>
      </c>
      <c r="E410" s="18"/>
      <c r="F410" s="18"/>
      <c r="G410" s="18"/>
      <c r="H410" s="18"/>
      <c r="I410" s="18"/>
      <c r="J410" s="18"/>
      <c r="K410" s="18"/>
      <c r="L410" s="18"/>
      <c r="M410" s="18"/>
      <c r="N410" s="18">
        <v>89905</v>
      </c>
    </row>
    <row r="411" spans="1:14">
      <c r="A411" s="4" t="s">
        <v>1161</v>
      </c>
      <c r="B411" s="18"/>
      <c r="C411" s="18"/>
      <c r="D411" s="18">
        <v>0</v>
      </c>
      <c r="E411" s="18"/>
      <c r="F411" s="18"/>
      <c r="G411" s="18"/>
      <c r="H411" s="18"/>
      <c r="I411" s="18"/>
      <c r="J411" s="18"/>
      <c r="K411" s="18"/>
      <c r="L411" s="18"/>
      <c r="M411" s="18"/>
      <c r="N411" s="18">
        <v>0</v>
      </c>
    </row>
    <row r="412" spans="1:14">
      <c r="A412" s="4" t="s">
        <v>951</v>
      </c>
      <c r="B412" s="18"/>
      <c r="C412" s="18"/>
      <c r="D412" s="18">
        <v>123760</v>
      </c>
      <c r="E412" s="18"/>
      <c r="F412" s="18"/>
      <c r="G412" s="18"/>
      <c r="H412" s="18"/>
      <c r="I412" s="18"/>
      <c r="J412" s="18"/>
      <c r="K412" s="18"/>
      <c r="L412" s="18"/>
      <c r="M412" s="18"/>
      <c r="N412" s="18">
        <v>123760</v>
      </c>
    </row>
    <row r="413" spans="1:14">
      <c r="A413" s="4">
        <v>750247</v>
      </c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</row>
    <row r="414" spans="1:14">
      <c r="A414" s="19">
        <v>254997</v>
      </c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</row>
    <row r="415" spans="1:14">
      <c r="A415" s="347">
        <v>1395754</v>
      </c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</row>
    <row r="416" spans="1:14">
      <c r="A416" s="489">
        <v>0</v>
      </c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</row>
    <row r="417" spans="1:14">
      <c r="A417" s="753">
        <v>717901.37</v>
      </c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</row>
    <row r="418" spans="1:14">
      <c r="A418" s="754" t="s">
        <v>898</v>
      </c>
      <c r="B418" s="18"/>
      <c r="C418" s="18"/>
      <c r="D418" s="18">
        <v>750247</v>
      </c>
      <c r="E418" s="18"/>
      <c r="F418" s="18"/>
      <c r="G418" s="18"/>
      <c r="H418" s="18"/>
      <c r="I418" s="18"/>
      <c r="J418" s="18"/>
      <c r="K418" s="18"/>
      <c r="L418" s="18"/>
      <c r="M418" s="18"/>
      <c r="N418" s="18">
        <v>750247</v>
      </c>
    </row>
    <row r="419" spans="1:14">
      <c r="A419" s="754" t="s">
        <v>901</v>
      </c>
      <c r="B419" s="18"/>
      <c r="C419" s="18"/>
      <c r="D419" s="18">
        <v>1395754</v>
      </c>
      <c r="E419" s="18"/>
      <c r="F419" s="18"/>
      <c r="G419" s="18"/>
      <c r="H419" s="18"/>
      <c r="I419" s="18"/>
      <c r="J419" s="18"/>
      <c r="K419" s="18"/>
      <c r="L419" s="18"/>
      <c r="M419" s="18"/>
      <c r="N419" s="18">
        <v>1395754</v>
      </c>
    </row>
    <row r="420" spans="1:14">
      <c r="A420" s="754" t="s">
        <v>903</v>
      </c>
      <c r="B420" s="18"/>
      <c r="C420" s="18"/>
      <c r="D420" s="18">
        <v>254997</v>
      </c>
      <c r="E420" s="18"/>
      <c r="F420" s="18"/>
      <c r="G420" s="18"/>
      <c r="H420" s="18"/>
      <c r="I420" s="18"/>
      <c r="J420" s="18"/>
      <c r="K420" s="18"/>
      <c r="L420" s="18"/>
      <c r="M420" s="18"/>
      <c r="N420" s="18">
        <v>254997</v>
      </c>
    </row>
    <row r="421" spans="1:14">
      <c r="A421" s="754" t="s">
        <v>905</v>
      </c>
      <c r="B421" s="18"/>
      <c r="C421" s="18"/>
      <c r="D421" s="18">
        <v>0</v>
      </c>
      <c r="E421" s="18"/>
      <c r="F421" s="18"/>
      <c r="G421" s="18"/>
      <c r="H421" s="18"/>
      <c r="I421" s="18"/>
      <c r="J421" s="18"/>
      <c r="K421" s="18"/>
      <c r="L421" s="18"/>
      <c r="M421" s="18"/>
      <c r="N421" s="18">
        <v>0</v>
      </c>
    </row>
    <row r="422" spans="1:14">
      <c r="A422" s="754" t="s">
        <v>174</v>
      </c>
      <c r="B422" s="18"/>
      <c r="C422" s="18"/>
      <c r="D422" s="18">
        <v>717901.37</v>
      </c>
      <c r="E422" s="18"/>
      <c r="F422" s="18"/>
      <c r="G422" s="18"/>
      <c r="H422" s="18"/>
      <c r="I422" s="18"/>
      <c r="J422" s="18"/>
      <c r="K422" s="18"/>
      <c r="L422" s="18"/>
      <c r="M422" s="18"/>
      <c r="N422" s="18">
        <v>717901.37</v>
      </c>
    </row>
    <row r="423" spans="1:14">
      <c r="A423" s="489" t="s">
        <v>1755</v>
      </c>
      <c r="B423" s="18"/>
      <c r="C423" s="18"/>
      <c r="D423" s="18">
        <v>750247</v>
      </c>
      <c r="E423" s="18"/>
      <c r="F423" s="18"/>
      <c r="G423" s="18"/>
      <c r="H423" s="18"/>
      <c r="I423" s="18"/>
      <c r="J423" s="18"/>
      <c r="K423" s="18"/>
      <c r="L423" s="18"/>
      <c r="M423" s="18"/>
      <c r="N423" s="18">
        <v>750247</v>
      </c>
    </row>
    <row r="424" spans="1:14">
      <c r="A424" s="489" t="s">
        <v>1545</v>
      </c>
      <c r="B424" s="18"/>
      <c r="C424" s="18"/>
      <c r="D424" s="18">
        <v>1395754</v>
      </c>
      <c r="E424" s="18"/>
      <c r="F424" s="18"/>
      <c r="G424" s="18"/>
      <c r="H424" s="18"/>
      <c r="I424" s="18"/>
      <c r="J424" s="18"/>
      <c r="K424" s="18"/>
      <c r="L424" s="18"/>
      <c r="M424" s="18"/>
      <c r="N424" s="18">
        <v>1395754</v>
      </c>
    </row>
    <row r="425" spans="1:14">
      <c r="A425" s="489" t="s">
        <v>1335</v>
      </c>
      <c r="B425" s="18"/>
      <c r="C425" s="18"/>
      <c r="D425" s="18">
        <v>254997</v>
      </c>
      <c r="E425" s="18"/>
      <c r="F425" s="18"/>
      <c r="G425" s="18"/>
      <c r="H425" s="18"/>
      <c r="I425" s="18"/>
      <c r="J425" s="18"/>
      <c r="K425" s="18"/>
      <c r="L425" s="18"/>
      <c r="M425" s="18"/>
      <c r="N425" s="18">
        <v>254997</v>
      </c>
    </row>
    <row r="426" spans="1:14">
      <c r="A426" s="489" t="s">
        <v>1125</v>
      </c>
      <c r="B426" s="18"/>
      <c r="C426" s="18"/>
      <c r="D426" s="18">
        <v>0</v>
      </c>
      <c r="E426" s="18"/>
      <c r="F426" s="18"/>
      <c r="G426" s="18"/>
      <c r="H426" s="18"/>
      <c r="I426" s="18"/>
      <c r="J426" s="18"/>
      <c r="K426" s="18"/>
      <c r="L426" s="18"/>
      <c r="M426" s="18"/>
      <c r="N426" s="18">
        <v>0</v>
      </c>
    </row>
    <row r="427" spans="1:14">
      <c r="A427" s="489" t="s">
        <v>915</v>
      </c>
      <c r="B427" s="18"/>
      <c r="C427" s="18"/>
      <c r="D427" s="18">
        <v>717901.37</v>
      </c>
      <c r="E427" s="18"/>
      <c r="F427" s="18"/>
      <c r="G427" s="18"/>
      <c r="H427" s="18"/>
      <c r="I427" s="18"/>
      <c r="J427" s="18"/>
      <c r="K427" s="18"/>
      <c r="L427" s="18"/>
      <c r="M427" s="18"/>
      <c r="N427" s="18">
        <v>717901.37</v>
      </c>
    </row>
    <row r="428" spans="1:14">
      <c r="A428" s="347" t="s">
        <v>1792</v>
      </c>
      <c r="B428" s="18"/>
      <c r="C428" s="18"/>
      <c r="D428" s="18">
        <v>750247</v>
      </c>
      <c r="E428" s="18"/>
      <c r="F428" s="18"/>
      <c r="G428" s="18"/>
      <c r="H428" s="18"/>
      <c r="I428" s="18"/>
      <c r="J428" s="18"/>
      <c r="K428" s="18"/>
      <c r="L428" s="18"/>
      <c r="M428" s="18"/>
      <c r="N428" s="18">
        <v>750247</v>
      </c>
    </row>
    <row r="429" spans="1:14">
      <c r="A429" s="347" t="s">
        <v>1582</v>
      </c>
      <c r="B429" s="18"/>
      <c r="C429" s="18"/>
      <c r="D429" s="18">
        <v>1395754</v>
      </c>
      <c r="E429" s="18"/>
      <c r="F429" s="18"/>
      <c r="G429" s="18"/>
      <c r="H429" s="18"/>
      <c r="I429" s="18"/>
      <c r="J429" s="18"/>
      <c r="K429" s="18"/>
      <c r="L429" s="18"/>
      <c r="M429" s="18"/>
      <c r="N429" s="18">
        <v>1395754</v>
      </c>
    </row>
    <row r="430" spans="1:14">
      <c r="A430" s="347" t="s">
        <v>1372</v>
      </c>
      <c r="B430" s="18"/>
      <c r="C430" s="18"/>
      <c r="D430" s="18">
        <v>254997</v>
      </c>
      <c r="E430" s="18"/>
      <c r="F430" s="18"/>
      <c r="G430" s="18"/>
      <c r="H430" s="18"/>
      <c r="I430" s="18"/>
      <c r="J430" s="18"/>
      <c r="K430" s="18"/>
      <c r="L430" s="18"/>
      <c r="M430" s="18"/>
      <c r="N430" s="18">
        <v>254997</v>
      </c>
    </row>
    <row r="431" spans="1:14">
      <c r="A431" s="347" t="s">
        <v>1162</v>
      </c>
      <c r="B431" s="18"/>
      <c r="C431" s="18"/>
      <c r="D431" s="18">
        <v>0</v>
      </c>
      <c r="E431" s="18"/>
      <c r="F431" s="18"/>
      <c r="G431" s="18"/>
      <c r="H431" s="18"/>
      <c r="I431" s="18"/>
      <c r="J431" s="18"/>
      <c r="K431" s="18"/>
      <c r="L431" s="18"/>
      <c r="M431" s="18"/>
      <c r="N431" s="18">
        <v>0</v>
      </c>
    </row>
    <row r="432" spans="1:14">
      <c r="A432" s="347" t="s">
        <v>952</v>
      </c>
      <c r="B432" s="18"/>
      <c r="C432" s="18"/>
      <c r="D432" s="18">
        <v>717901.37</v>
      </c>
      <c r="E432" s="18"/>
      <c r="F432" s="18"/>
      <c r="G432" s="18"/>
      <c r="H432" s="18"/>
      <c r="I432" s="18"/>
      <c r="J432" s="18"/>
      <c r="K432" s="18"/>
      <c r="L432" s="18"/>
      <c r="M432" s="18"/>
      <c r="N432" s="18">
        <v>717901.37</v>
      </c>
    </row>
    <row r="433" spans="1:14">
      <c r="A433" s="19" t="s">
        <v>1793</v>
      </c>
      <c r="B433" s="18"/>
      <c r="C433" s="18"/>
      <c r="D433" s="18">
        <v>750247</v>
      </c>
      <c r="E433" s="18"/>
      <c r="F433" s="18"/>
      <c r="G433" s="18"/>
      <c r="H433" s="18"/>
      <c r="I433" s="18"/>
      <c r="J433" s="18"/>
      <c r="K433" s="18"/>
      <c r="L433" s="18"/>
      <c r="M433" s="18"/>
      <c r="N433" s="18">
        <v>750247</v>
      </c>
    </row>
    <row r="434" spans="1:14">
      <c r="A434" s="19" t="s">
        <v>1583</v>
      </c>
      <c r="B434" s="18"/>
      <c r="C434" s="18"/>
      <c r="D434" s="18">
        <v>1395754</v>
      </c>
      <c r="E434" s="18"/>
      <c r="F434" s="18"/>
      <c r="G434" s="18"/>
      <c r="H434" s="18"/>
      <c r="I434" s="18"/>
      <c r="J434" s="18"/>
      <c r="K434" s="18"/>
      <c r="L434" s="18"/>
      <c r="M434" s="18"/>
      <c r="N434" s="18">
        <v>1395754</v>
      </c>
    </row>
    <row r="435" spans="1:14">
      <c r="A435" s="19" t="s">
        <v>1373</v>
      </c>
      <c r="B435" s="18"/>
      <c r="C435" s="18"/>
      <c r="D435" s="18">
        <v>254997</v>
      </c>
      <c r="E435" s="18"/>
      <c r="F435" s="18"/>
      <c r="G435" s="18"/>
      <c r="H435" s="18"/>
      <c r="I435" s="18"/>
      <c r="J435" s="18"/>
      <c r="K435" s="18"/>
      <c r="L435" s="18"/>
      <c r="M435" s="18"/>
      <c r="N435" s="18">
        <v>254997</v>
      </c>
    </row>
    <row r="436" spans="1:14">
      <c r="A436" s="19" t="s">
        <v>1163</v>
      </c>
      <c r="B436" s="18"/>
      <c r="C436" s="18"/>
      <c r="D436" s="18">
        <v>0</v>
      </c>
      <c r="E436" s="18"/>
      <c r="F436" s="18"/>
      <c r="G436" s="18"/>
      <c r="H436" s="18"/>
      <c r="I436" s="18"/>
      <c r="J436" s="18"/>
      <c r="K436" s="18"/>
      <c r="L436" s="18"/>
      <c r="M436" s="18"/>
      <c r="N436" s="18">
        <v>0</v>
      </c>
    </row>
    <row r="437" spans="1:14">
      <c r="A437" s="19" t="s">
        <v>953</v>
      </c>
      <c r="B437" s="18"/>
      <c r="C437" s="18"/>
      <c r="D437" s="18">
        <v>717901.37</v>
      </c>
      <c r="E437" s="18"/>
      <c r="F437" s="18"/>
      <c r="G437" s="18"/>
      <c r="H437" s="18"/>
      <c r="I437" s="18"/>
      <c r="J437" s="18"/>
      <c r="K437" s="18"/>
      <c r="L437" s="18"/>
      <c r="M437" s="18"/>
      <c r="N437" s="18">
        <v>717901.37</v>
      </c>
    </row>
    <row r="438" spans="1:14">
      <c r="A438" s="4" t="s">
        <v>1794</v>
      </c>
      <c r="B438" s="18"/>
      <c r="C438" s="18"/>
      <c r="D438" s="18">
        <v>750247</v>
      </c>
      <c r="E438" s="18"/>
      <c r="F438" s="18"/>
      <c r="G438" s="18"/>
      <c r="H438" s="18"/>
      <c r="I438" s="18"/>
      <c r="J438" s="18"/>
      <c r="K438" s="18"/>
      <c r="L438" s="18"/>
      <c r="M438" s="18"/>
      <c r="N438" s="18">
        <v>750247</v>
      </c>
    </row>
    <row r="439" spans="1:14">
      <c r="A439" s="4" t="s">
        <v>1584</v>
      </c>
      <c r="B439" s="18"/>
      <c r="C439" s="18"/>
      <c r="D439" s="18">
        <v>1395754</v>
      </c>
      <c r="E439" s="18"/>
      <c r="F439" s="18"/>
      <c r="G439" s="18"/>
      <c r="H439" s="18"/>
      <c r="I439" s="18"/>
      <c r="J439" s="18"/>
      <c r="K439" s="18"/>
      <c r="L439" s="18"/>
      <c r="M439" s="18"/>
      <c r="N439" s="18">
        <v>1395754</v>
      </c>
    </row>
    <row r="440" spans="1:14">
      <c r="A440" s="4" t="s">
        <v>1374</v>
      </c>
      <c r="B440" s="18"/>
      <c r="C440" s="18"/>
      <c r="D440" s="18">
        <v>254997</v>
      </c>
      <c r="E440" s="18"/>
      <c r="F440" s="18"/>
      <c r="G440" s="18"/>
      <c r="H440" s="18"/>
      <c r="I440" s="18"/>
      <c r="J440" s="18"/>
      <c r="K440" s="18"/>
      <c r="L440" s="18"/>
      <c r="M440" s="18"/>
      <c r="N440" s="18">
        <v>254997</v>
      </c>
    </row>
    <row r="441" spans="1:14">
      <c r="A441" s="4" t="s">
        <v>1164</v>
      </c>
      <c r="B441" s="18"/>
      <c r="C441" s="18"/>
      <c r="D441" s="18">
        <v>0</v>
      </c>
      <c r="E441" s="18"/>
      <c r="F441" s="18"/>
      <c r="G441" s="18"/>
      <c r="H441" s="18"/>
      <c r="I441" s="18"/>
      <c r="J441" s="18"/>
      <c r="K441" s="18"/>
      <c r="L441" s="18"/>
      <c r="M441" s="18"/>
      <c r="N441" s="18">
        <v>0</v>
      </c>
    </row>
    <row r="442" spans="1:14">
      <c r="A442" s="4" t="s">
        <v>954</v>
      </c>
      <c r="B442" s="18"/>
      <c r="C442" s="18"/>
      <c r="D442" s="18">
        <v>717901.37</v>
      </c>
      <c r="E442" s="18"/>
      <c r="F442" s="18"/>
      <c r="G442" s="18"/>
      <c r="H442" s="18"/>
      <c r="I442" s="18"/>
      <c r="J442" s="18"/>
      <c r="K442" s="18"/>
      <c r="L442" s="18"/>
      <c r="M442" s="18"/>
      <c r="N442" s="18">
        <v>717901.37</v>
      </c>
    </row>
    <row r="443" spans="1:14">
      <c r="A443" s="4">
        <v>771141</v>
      </c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</row>
    <row r="444" spans="1:14">
      <c r="A444" s="19">
        <v>420000</v>
      </c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</row>
    <row r="445" spans="1:14">
      <c r="A445" s="347">
        <v>1359322</v>
      </c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</row>
    <row r="446" spans="1:14">
      <c r="A446" s="489">
        <v>16912</v>
      </c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</row>
    <row r="447" spans="1:14">
      <c r="A447" s="753">
        <v>66994</v>
      </c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</row>
    <row r="448" spans="1:14">
      <c r="A448" s="754" t="s">
        <v>898</v>
      </c>
      <c r="B448" s="18"/>
      <c r="C448" s="18"/>
      <c r="D448" s="18"/>
      <c r="E448" s="18"/>
      <c r="F448" s="18"/>
      <c r="G448" s="18">
        <v>771141</v>
      </c>
      <c r="H448" s="18"/>
      <c r="I448" s="18"/>
      <c r="J448" s="18"/>
      <c r="K448" s="18"/>
      <c r="L448" s="18"/>
      <c r="M448" s="18"/>
      <c r="N448" s="18">
        <v>771141</v>
      </c>
    </row>
    <row r="449" spans="1:14">
      <c r="A449" s="754" t="s">
        <v>901</v>
      </c>
      <c r="B449" s="18"/>
      <c r="C449" s="18"/>
      <c r="D449" s="18"/>
      <c r="E449" s="18"/>
      <c r="F449" s="18"/>
      <c r="G449" s="18">
        <v>1359322</v>
      </c>
      <c r="H449" s="18"/>
      <c r="I449" s="18"/>
      <c r="J449" s="18"/>
      <c r="K449" s="18"/>
      <c r="L449" s="18"/>
      <c r="M449" s="18"/>
      <c r="N449" s="18">
        <v>1359322</v>
      </c>
    </row>
    <row r="450" spans="1:14">
      <c r="A450" s="754" t="s">
        <v>903</v>
      </c>
      <c r="B450" s="18"/>
      <c r="C450" s="18"/>
      <c r="D450" s="18"/>
      <c r="E450" s="18"/>
      <c r="F450" s="18"/>
      <c r="G450" s="18">
        <v>420000</v>
      </c>
      <c r="H450" s="18"/>
      <c r="I450" s="18"/>
      <c r="J450" s="18"/>
      <c r="K450" s="18"/>
      <c r="L450" s="18"/>
      <c r="M450" s="18"/>
      <c r="N450" s="18">
        <v>420000</v>
      </c>
    </row>
    <row r="451" spans="1:14">
      <c r="A451" s="754" t="s">
        <v>905</v>
      </c>
      <c r="B451" s="18"/>
      <c r="C451" s="18"/>
      <c r="D451" s="18"/>
      <c r="E451" s="18"/>
      <c r="F451" s="18"/>
      <c r="G451" s="18">
        <v>16912</v>
      </c>
      <c r="H451" s="18"/>
      <c r="I451" s="18"/>
      <c r="J451" s="18"/>
      <c r="K451" s="18"/>
      <c r="L451" s="18"/>
      <c r="M451" s="18"/>
      <c r="N451" s="18">
        <v>16912</v>
      </c>
    </row>
    <row r="452" spans="1:14">
      <c r="A452" s="754" t="s">
        <v>174</v>
      </c>
      <c r="B452" s="18"/>
      <c r="C452" s="18"/>
      <c r="D452" s="18"/>
      <c r="E452" s="18"/>
      <c r="F452" s="18"/>
      <c r="G452" s="18">
        <v>66994</v>
      </c>
      <c r="H452" s="18"/>
      <c r="I452" s="18"/>
      <c r="J452" s="18"/>
      <c r="K452" s="18"/>
      <c r="L452" s="18"/>
      <c r="M452" s="18"/>
      <c r="N452" s="18">
        <v>66994</v>
      </c>
    </row>
    <row r="453" spans="1:14">
      <c r="A453" s="489" t="s">
        <v>1795</v>
      </c>
      <c r="B453" s="18"/>
      <c r="C453" s="18"/>
      <c r="D453" s="18"/>
      <c r="E453" s="18"/>
      <c r="F453" s="18"/>
      <c r="G453" s="18">
        <v>771141</v>
      </c>
      <c r="H453" s="18"/>
      <c r="I453" s="18"/>
      <c r="J453" s="18"/>
      <c r="K453" s="18"/>
      <c r="L453" s="18"/>
      <c r="M453" s="18"/>
      <c r="N453" s="18">
        <v>771141</v>
      </c>
    </row>
    <row r="454" spans="1:14">
      <c r="A454" s="489" t="s">
        <v>1585</v>
      </c>
      <c r="B454" s="18"/>
      <c r="C454" s="18"/>
      <c r="D454" s="18"/>
      <c r="E454" s="18"/>
      <c r="F454" s="18"/>
      <c r="G454" s="18">
        <v>1359322</v>
      </c>
      <c r="H454" s="18"/>
      <c r="I454" s="18"/>
      <c r="J454" s="18"/>
      <c r="K454" s="18"/>
      <c r="L454" s="18"/>
      <c r="M454" s="18"/>
      <c r="N454" s="18">
        <v>1359322</v>
      </c>
    </row>
    <row r="455" spans="1:14">
      <c r="A455" s="489" t="s">
        <v>1375</v>
      </c>
      <c r="B455" s="18"/>
      <c r="C455" s="18"/>
      <c r="D455" s="18"/>
      <c r="E455" s="18"/>
      <c r="F455" s="18"/>
      <c r="G455" s="18">
        <v>420000</v>
      </c>
      <c r="H455" s="18"/>
      <c r="I455" s="18"/>
      <c r="J455" s="18"/>
      <c r="K455" s="18"/>
      <c r="L455" s="18"/>
      <c r="M455" s="18"/>
      <c r="N455" s="18">
        <v>420000</v>
      </c>
    </row>
    <row r="456" spans="1:14">
      <c r="A456" s="489" t="s">
        <v>1165</v>
      </c>
      <c r="B456" s="18"/>
      <c r="C456" s="18"/>
      <c r="D456" s="18"/>
      <c r="E456" s="18"/>
      <c r="F456" s="18"/>
      <c r="G456" s="18">
        <v>16912</v>
      </c>
      <c r="H456" s="18"/>
      <c r="I456" s="18"/>
      <c r="J456" s="18"/>
      <c r="K456" s="18"/>
      <c r="L456" s="18"/>
      <c r="M456" s="18"/>
      <c r="N456" s="18">
        <v>16912</v>
      </c>
    </row>
    <row r="457" spans="1:14">
      <c r="A457" s="489" t="s">
        <v>955</v>
      </c>
      <c r="B457" s="18"/>
      <c r="C457" s="18"/>
      <c r="D457" s="18"/>
      <c r="E457" s="18"/>
      <c r="F457" s="18"/>
      <c r="G457" s="18">
        <v>66994</v>
      </c>
      <c r="H457" s="18"/>
      <c r="I457" s="18"/>
      <c r="J457" s="18"/>
      <c r="K457" s="18"/>
      <c r="L457" s="18"/>
      <c r="M457" s="18"/>
      <c r="N457" s="18">
        <v>66994</v>
      </c>
    </row>
    <row r="458" spans="1:14">
      <c r="A458" s="347" t="s">
        <v>1796</v>
      </c>
      <c r="B458" s="18"/>
      <c r="C458" s="18"/>
      <c r="D458" s="18"/>
      <c r="E458" s="18"/>
      <c r="F458" s="18"/>
      <c r="G458" s="18">
        <v>771141</v>
      </c>
      <c r="H458" s="18"/>
      <c r="I458" s="18"/>
      <c r="J458" s="18"/>
      <c r="K458" s="18"/>
      <c r="L458" s="18"/>
      <c r="M458" s="18"/>
      <c r="N458" s="18">
        <v>771141</v>
      </c>
    </row>
    <row r="459" spans="1:14">
      <c r="A459" s="347" t="s">
        <v>1586</v>
      </c>
      <c r="B459" s="18"/>
      <c r="C459" s="18"/>
      <c r="D459" s="18"/>
      <c r="E459" s="18"/>
      <c r="F459" s="18"/>
      <c r="G459" s="18">
        <v>1359322</v>
      </c>
      <c r="H459" s="18"/>
      <c r="I459" s="18"/>
      <c r="J459" s="18"/>
      <c r="K459" s="18"/>
      <c r="L459" s="18"/>
      <c r="M459" s="18"/>
      <c r="N459" s="18">
        <v>1359322</v>
      </c>
    </row>
    <row r="460" spans="1:14">
      <c r="A460" s="347" t="s">
        <v>1376</v>
      </c>
      <c r="B460" s="18"/>
      <c r="C460" s="18"/>
      <c r="D460" s="18"/>
      <c r="E460" s="18"/>
      <c r="F460" s="18"/>
      <c r="G460" s="18">
        <v>420000</v>
      </c>
      <c r="H460" s="18"/>
      <c r="I460" s="18"/>
      <c r="J460" s="18"/>
      <c r="K460" s="18"/>
      <c r="L460" s="18"/>
      <c r="M460" s="18"/>
      <c r="N460" s="18">
        <v>420000</v>
      </c>
    </row>
    <row r="461" spans="1:14">
      <c r="A461" s="347" t="s">
        <v>1166</v>
      </c>
      <c r="B461" s="18"/>
      <c r="C461" s="18"/>
      <c r="D461" s="18"/>
      <c r="E461" s="18"/>
      <c r="F461" s="18"/>
      <c r="G461" s="18">
        <v>16912</v>
      </c>
      <c r="H461" s="18"/>
      <c r="I461" s="18"/>
      <c r="J461" s="18"/>
      <c r="K461" s="18"/>
      <c r="L461" s="18"/>
      <c r="M461" s="18"/>
      <c r="N461" s="18">
        <v>16912</v>
      </c>
    </row>
    <row r="462" spans="1:14">
      <c r="A462" s="347" t="s">
        <v>956</v>
      </c>
      <c r="B462" s="18"/>
      <c r="C462" s="18"/>
      <c r="D462" s="18"/>
      <c r="E462" s="18"/>
      <c r="F462" s="18"/>
      <c r="G462" s="18">
        <v>66994</v>
      </c>
      <c r="H462" s="18"/>
      <c r="I462" s="18"/>
      <c r="J462" s="18"/>
      <c r="K462" s="18"/>
      <c r="L462" s="18"/>
      <c r="M462" s="18"/>
      <c r="N462" s="18">
        <v>66994</v>
      </c>
    </row>
    <row r="463" spans="1:14">
      <c r="A463" s="19" t="s">
        <v>1797</v>
      </c>
      <c r="B463" s="18"/>
      <c r="C463" s="18"/>
      <c r="D463" s="18"/>
      <c r="E463" s="18"/>
      <c r="F463" s="18"/>
      <c r="G463" s="18">
        <v>771141</v>
      </c>
      <c r="H463" s="18"/>
      <c r="I463" s="18"/>
      <c r="J463" s="18"/>
      <c r="K463" s="18"/>
      <c r="L463" s="18"/>
      <c r="M463" s="18"/>
      <c r="N463" s="18">
        <v>771141</v>
      </c>
    </row>
    <row r="464" spans="1:14">
      <c r="A464" s="19" t="s">
        <v>1587</v>
      </c>
      <c r="B464" s="18"/>
      <c r="C464" s="18"/>
      <c r="D464" s="18"/>
      <c r="E464" s="18"/>
      <c r="F464" s="18"/>
      <c r="G464" s="18">
        <v>1359322</v>
      </c>
      <c r="H464" s="18"/>
      <c r="I464" s="18"/>
      <c r="J464" s="18"/>
      <c r="K464" s="18"/>
      <c r="L464" s="18"/>
      <c r="M464" s="18"/>
      <c r="N464" s="18">
        <v>1359322</v>
      </c>
    </row>
    <row r="465" spans="1:14">
      <c r="A465" s="19" t="s">
        <v>1377</v>
      </c>
      <c r="B465" s="18"/>
      <c r="C465" s="18"/>
      <c r="D465" s="18"/>
      <c r="E465" s="18"/>
      <c r="F465" s="18"/>
      <c r="G465" s="18">
        <v>420000</v>
      </c>
      <c r="H465" s="18"/>
      <c r="I465" s="18"/>
      <c r="J465" s="18"/>
      <c r="K465" s="18"/>
      <c r="L465" s="18"/>
      <c r="M465" s="18"/>
      <c r="N465" s="18">
        <v>420000</v>
      </c>
    </row>
    <row r="466" spans="1:14">
      <c r="A466" s="19" t="s">
        <v>1167</v>
      </c>
      <c r="B466" s="18"/>
      <c r="C466" s="18"/>
      <c r="D466" s="18"/>
      <c r="E466" s="18"/>
      <c r="F466" s="18"/>
      <c r="G466" s="18">
        <v>16912</v>
      </c>
      <c r="H466" s="18"/>
      <c r="I466" s="18"/>
      <c r="J466" s="18"/>
      <c r="K466" s="18"/>
      <c r="L466" s="18"/>
      <c r="M466" s="18"/>
      <c r="N466" s="18">
        <v>16912</v>
      </c>
    </row>
    <row r="467" spans="1:14">
      <c r="A467" s="19" t="s">
        <v>957</v>
      </c>
      <c r="B467" s="18"/>
      <c r="C467" s="18"/>
      <c r="D467" s="18"/>
      <c r="E467" s="18"/>
      <c r="F467" s="18"/>
      <c r="G467" s="18">
        <v>66994</v>
      </c>
      <c r="H467" s="18"/>
      <c r="I467" s="18"/>
      <c r="J467" s="18"/>
      <c r="K467" s="18"/>
      <c r="L467" s="18"/>
      <c r="M467" s="18"/>
      <c r="N467" s="18">
        <v>66994</v>
      </c>
    </row>
    <row r="468" spans="1:14">
      <c r="A468" s="4" t="s">
        <v>1798</v>
      </c>
      <c r="B468" s="18"/>
      <c r="C468" s="18"/>
      <c r="D468" s="18"/>
      <c r="E468" s="18"/>
      <c r="F468" s="18"/>
      <c r="G468" s="18">
        <v>771141</v>
      </c>
      <c r="H468" s="18"/>
      <c r="I468" s="18"/>
      <c r="J468" s="18"/>
      <c r="K468" s="18"/>
      <c r="L468" s="18"/>
      <c r="M468" s="18"/>
      <c r="N468" s="18">
        <v>771141</v>
      </c>
    </row>
    <row r="469" spans="1:14">
      <c r="A469" s="4" t="s">
        <v>1588</v>
      </c>
      <c r="B469" s="18"/>
      <c r="C469" s="18"/>
      <c r="D469" s="18"/>
      <c r="E469" s="18"/>
      <c r="F469" s="18"/>
      <c r="G469" s="18">
        <v>1359322</v>
      </c>
      <c r="H469" s="18"/>
      <c r="I469" s="18"/>
      <c r="J469" s="18"/>
      <c r="K469" s="18"/>
      <c r="L469" s="18"/>
      <c r="M469" s="18"/>
      <c r="N469" s="18">
        <v>1359322</v>
      </c>
    </row>
    <row r="470" spans="1:14">
      <c r="A470" s="4" t="s">
        <v>1378</v>
      </c>
      <c r="B470" s="18"/>
      <c r="C470" s="18"/>
      <c r="D470" s="18"/>
      <c r="E470" s="18"/>
      <c r="F470" s="18"/>
      <c r="G470" s="18">
        <v>420000</v>
      </c>
      <c r="H470" s="18"/>
      <c r="I470" s="18"/>
      <c r="J470" s="18"/>
      <c r="K470" s="18"/>
      <c r="L470" s="18"/>
      <c r="M470" s="18"/>
      <c r="N470" s="18">
        <v>420000</v>
      </c>
    </row>
    <row r="471" spans="1:14">
      <c r="A471" s="4" t="s">
        <v>1168</v>
      </c>
      <c r="B471" s="18"/>
      <c r="C471" s="18"/>
      <c r="D471" s="18"/>
      <c r="E471" s="18"/>
      <c r="F471" s="18"/>
      <c r="G471" s="18">
        <v>16912</v>
      </c>
      <c r="H471" s="18"/>
      <c r="I471" s="18"/>
      <c r="J471" s="18"/>
      <c r="K471" s="18"/>
      <c r="L471" s="18"/>
      <c r="M471" s="18"/>
      <c r="N471" s="18">
        <v>16912</v>
      </c>
    </row>
    <row r="472" spans="1:14">
      <c r="A472" s="4" t="s">
        <v>958</v>
      </c>
      <c r="B472" s="18"/>
      <c r="C472" s="18"/>
      <c r="D472" s="18"/>
      <c r="E472" s="18"/>
      <c r="F472" s="18"/>
      <c r="G472" s="18">
        <v>66994</v>
      </c>
      <c r="H472" s="18"/>
      <c r="I472" s="18"/>
      <c r="J472" s="18"/>
      <c r="K472" s="18"/>
      <c r="L472" s="18"/>
      <c r="M472" s="18"/>
      <c r="N472" s="18">
        <v>66994</v>
      </c>
    </row>
    <row r="473" spans="1:14">
      <c r="A473" s="4">
        <v>803098</v>
      </c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</row>
    <row r="474" spans="1:14">
      <c r="A474" s="19">
        <v>400000</v>
      </c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</row>
    <row r="475" spans="1:14">
      <c r="A475" s="347">
        <v>1544668</v>
      </c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</row>
    <row r="476" spans="1:14">
      <c r="A476" s="489">
        <v>26756</v>
      </c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</row>
    <row r="477" spans="1:14">
      <c r="A477" s="753">
        <v>0</v>
      </c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</row>
    <row r="478" spans="1:14">
      <c r="A478" s="754" t="s">
        <v>898</v>
      </c>
      <c r="B478" s="18"/>
      <c r="C478" s="18"/>
      <c r="D478" s="18"/>
      <c r="E478" s="18"/>
      <c r="F478" s="18"/>
      <c r="G478" s="18">
        <v>803098</v>
      </c>
      <c r="H478" s="18"/>
      <c r="I478" s="18"/>
      <c r="J478" s="18"/>
      <c r="K478" s="18"/>
      <c r="L478" s="18"/>
      <c r="M478" s="18"/>
      <c r="N478" s="18">
        <v>803098</v>
      </c>
    </row>
    <row r="479" spans="1:14">
      <c r="A479" s="754" t="s">
        <v>901</v>
      </c>
      <c r="B479" s="18"/>
      <c r="C479" s="18"/>
      <c r="D479" s="18"/>
      <c r="E479" s="18"/>
      <c r="F479" s="18"/>
      <c r="G479" s="18">
        <v>1544668</v>
      </c>
      <c r="H479" s="18"/>
      <c r="I479" s="18"/>
      <c r="J479" s="18"/>
      <c r="K479" s="18"/>
      <c r="L479" s="18"/>
      <c r="M479" s="18"/>
      <c r="N479" s="18">
        <v>1544668</v>
      </c>
    </row>
    <row r="480" spans="1:14">
      <c r="A480" s="754" t="s">
        <v>903</v>
      </c>
      <c r="B480" s="18"/>
      <c r="C480" s="18"/>
      <c r="D480" s="18"/>
      <c r="E480" s="18"/>
      <c r="F480" s="18"/>
      <c r="G480" s="18">
        <v>400000</v>
      </c>
      <c r="H480" s="18"/>
      <c r="I480" s="18"/>
      <c r="J480" s="18"/>
      <c r="K480" s="18"/>
      <c r="L480" s="18"/>
      <c r="M480" s="18"/>
      <c r="N480" s="18">
        <v>400000</v>
      </c>
    </row>
    <row r="481" spans="1:14">
      <c r="A481" s="754" t="s">
        <v>905</v>
      </c>
      <c r="B481" s="18"/>
      <c r="C481" s="18"/>
      <c r="D481" s="18"/>
      <c r="E481" s="18"/>
      <c r="F481" s="18"/>
      <c r="G481" s="18">
        <v>26756</v>
      </c>
      <c r="H481" s="18"/>
      <c r="I481" s="18"/>
      <c r="J481" s="18"/>
      <c r="K481" s="18"/>
      <c r="L481" s="18"/>
      <c r="M481" s="18"/>
      <c r="N481" s="18">
        <v>26756</v>
      </c>
    </row>
    <row r="482" spans="1:14">
      <c r="A482" s="754" t="s">
        <v>174</v>
      </c>
      <c r="B482" s="18"/>
      <c r="C482" s="18"/>
      <c r="D482" s="18"/>
      <c r="E482" s="18"/>
      <c r="F482" s="18"/>
      <c r="G482" s="18">
        <v>0</v>
      </c>
      <c r="H482" s="18"/>
      <c r="I482" s="18"/>
      <c r="J482" s="18"/>
      <c r="K482" s="18"/>
      <c r="L482" s="18"/>
      <c r="M482" s="18"/>
      <c r="N482" s="18">
        <v>0</v>
      </c>
    </row>
    <row r="483" spans="1:14">
      <c r="A483" s="489" t="s">
        <v>1799</v>
      </c>
      <c r="B483" s="18"/>
      <c r="C483" s="18"/>
      <c r="D483" s="18"/>
      <c r="E483" s="18"/>
      <c r="F483" s="18"/>
      <c r="G483" s="18">
        <v>803098</v>
      </c>
      <c r="H483" s="18"/>
      <c r="I483" s="18"/>
      <c r="J483" s="18"/>
      <c r="K483" s="18"/>
      <c r="L483" s="18"/>
      <c r="M483" s="18"/>
      <c r="N483" s="18">
        <v>803098</v>
      </c>
    </row>
    <row r="484" spans="1:14">
      <c r="A484" s="489" t="s">
        <v>1589</v>
      </c>
      <c r="B484" s="18"/>
      <c r="C484" s="18"/>
      <c r="D484" s="18"/>
      <c r="E484" s="18"/>
      <c r="F484" s="18"/>
      <c r="G484" s="18">
        <v>1544668</v>
      </c>
      <c r="H484" s="18"/>
      <c r="I484" s="18"/>
      <c r="J484" s="18"/>
      <c r="K484" s="18"/>
      <c r="L484" s="18"/>
      <c r="M484" s="18"/>
      <c r="N484" s="18">
        <v>1544668</v>
      </c>
    </row>
    <row r="485" spans="1:14">
      <c r="A485" s="489" t="s">
        <v>1379</v>
      </c>
      <c r="B485" s="18"/>
      <c r="C485" s="18"/>
      <c r="D485" s="18"/>
      <c r="E485" s="18"/>
      <c r="F485" s="18"/>
      <c r="G485" s="18">
        <v>400000</v>
      </c>
      <c r="H485" s="18"/>
      <c r="I485" s="18"/>
      <c r="J485" s="18"/>
      <c r="K485" s="18"/>
      <c r="L485" s="18"/>
      <c r="M485" s="18"/>
      <c r="N485" s="18">
        <v>400000</v>
      </c>
    </row>
    <row r="486" spans="1:14">
      <c r="A486" s="489" t="s">
        <v>1169</v>
      </c>
      <c r="B486" s="18"/>
      <c r="C486" s="18"/>
      <c r="D486" s="18"/>
      <c r="E486" s="18"/>
      <c r="F486" s="18"/>
      <c r="G486" s="18">
        <v>26756</v>
      </c>
      <c r="H486" s="18"/>
      <c r="I486" s="18"/>
      <c r="J486" s="18"/>
      <c r="K486" s="18"/>
      <c r="L486" s="18"/>
      <c r="M486" s="18"/>
      <c r="N486" s="18">
        <v>26756</v>
      </c>
    </row>
    <row r="487" spans="1:14">
      <c r="A487" s="489" t="s">
        <v>959</v>
      </c>
      <c r="B487" s="18"/>
      <c r="C487" s="18"/>
      <c r="D487" s="18"/>
      <c r="E487" s="18"/>
      <c r="F487" s="18"/>
      <c r="G487" s="18">
        <v>0</v>
      </c>
      <c r="H487" s="18"/>
      <c r="I487" s="18"/>
      <c r="J487" s="18"/>
      <c r="K487" s="18"/>
      <c r="L487" s="18"/>
      <c r="M487" s="18"/>
      <c r="N487" s="18">
        <v>0</v>
      </c>
    </row>
    <row r="488" spans="1:14">
      <c r="A488" s="347" t="s">
        <v>1800</v>
      </c>
      <c r="B488" s="18"/>
      <c r="C488" s="18"/>
      <c r="D488" s="18"/>
      <c r="E488" s="18"/>
      <c r="F488" s="18"/>
      <c r="G488" s="18">
        <v>803098</v>
      </c>
      <c r="H488" s="18"/>
      <c r="I488" s="18"/>
      <c r="J488" s="18"/>
      <c r="K488" s="18"/>
      <c r="L488" s="18"/>
      <c r="M488" s="18"/>
      <c r="N488" s="18">
        <v>803098</v>
      </c>
    </row>
    <row r="489" spans="1:14">
      <c r="A489" s="347" t="s">
        <v>1590</v>
      </c>
      <c r="B489" s="18"/>
      <c r="C489" s="18"/>
      <c r="D489" s="18"/>
      <c r="E489" s="18"/>
      <c r="F489" s="18"/>
      <c r="G489" s="18">
        <v>1544668</v>
      </c>
      <c r="H489" s="18"/>
      <c r="I489" s="18"/>
      <c r="J489" s="18"/>
      <c r="K489" s="18"/>
      <c r="L489" s="18"/>
      <c r="M489" s="18"/>
      <c r="N489" s="18">
        <v>1544668</v>
      </c>
    </row>
    <row r="490" spans="1:14">
      <c r="A490" s="347" t="s">
        <v>1380</v>
      </c>
      <c r="B490" s="18"/>
      <c r="C490" s="18"/>
      <c r="D490" s="18"/>
      <c r="E490" s="18"/>
      <c r="F490" s="18"/>
      <c r="G490" s="18">
        <v>400000</v>
      </c>
      <c r="H490" s="18"/>
      <c r="I490" s="18"/>
      <c r="J490" s="18"/>
      <c r="K490" s="18"/>
      <c r="L490" s="18"/>
      <c r="M490" s="18"/>
      <c r="N490" s="18">
        <v>400000</v>
      </c>
    </row>
    <row r="491" spans="1:14">
      <c r="A491" s="347" t="s">
        <v>1170</v>
      </c>
      <c r="B491" s="18"/>
      <c r="C491" s="18"/>
      <c r="D491" s="18"/>
      <c r="E491" s="18"/>
      <c r="F491" s="18"/>
      <c r="G491" s="18">
        <v>26756</v>
      </c>
      <c r="H491" s="18"/>
      <c r="I491" s="18"/>
      <c r="J491" s="18"/>
      <c r="K491" s="18"/>
      <c r="L491" s="18"/>
      <c r="M491" s="18"/>
      <c r="N491" s="18">
        <v>26756</v>
      </c>
    </row>
    <row r="492" spans="1:14">
      <c r="A492" s="347" t="s">
        <v>960</v>
      </c>
      <c r="B492" s="18"/>
      <c r="C492" s="18"/>
      <c r="D492" s="18"/>
      <c r="E492" s="18"/>
      <c r="F492" s="18"/>
      <c r="G492" s="18">
        <v>0</v>
      </c>
      <c r="H492" s="18"/>
      <c r="I492" s="18"/>
      <c r="J492" s="18"/>
      <c r="K492" s="18"/>
      <c r="L492" s="18"/>
      <c r="M492" s="18"/>
      <c r="N492" s="18">
        <v>0</v>
      </c>
    </row>
    <row r="493" spans="1:14">
      <c r="A493" s="19" t="s">
        <v>1801</v>
      </c>
      <c r="B493" s="18"/>
      <c r="C493" s="18"/>
      <c r="D493" s="18"/>
      <c r="E493" s="18"/>
      <c r="F493" s="18"/>
      <c r="G493" s="18">
        <v>803098</v>
      </c>
      <c r="H493" s="18"/>
      <c r="I493" s="18"/>
      <c r="J493" s="18"/>
      <c r="K493" s="18"/>
      <c r="L493" s="18"/>
      <c r="M493" s="18"/>
      <c r="N493" s="18">
        <v>803098</v>
      </c>
    </row>
    <row r="494" spans="1:14">
      <c r="A494" s="19" t="s">
        <v>1591</v>
      </c>
      <c r="B494" s="18"/>
      <c r="C494" s="18"/>
      <c r="D494" s="18"/>
      <c r="E494" s="18"/>
      <c r="F494" s="18"/>
      <c r="G494" s="18">
        <v>1544668</v>
      </c>
      <c r="H494" s="18"/>
      <c r="I494" s="18"/>
      <c r="J494" s="18"/>
      <c r="K494" s="18"/>
      <c r="L494" s="18"/>
      <c r="M494" s="18"/>
      <c r="N494" s="18">
        <v>1544668</v>
      </c>
    </row>
    <row r="495" spans="1:14">
      <c r="A495" s="19" t="s">
        <v>1381</v>
      </c>
      <c r="B495" s="18"/>
      <c r="C495" s="18"/>
      <c r="D495" s="18"/>
      <c r="E495" s="18"/>
      <c r="F495" s="18"/>
      <c r="G495" s="18">
        <v>400000</v>
      </c>
      <c r="H495" s="18"/>
      <c r="I495" s="18"/>
      <c r="J495" s="18"/>
      <c r="K495" s="18"/>
      <c r="L495" s="18"/>
      <c r="M495" s="18"/>
      <c r="N495" s="18">
        <v>400000</v>
      </c>
    </row>
    <row r="496" spans="1:14">
      <c r="A496" s="19" t="s">
        <v>1171</v>
      </c>
      <c r="B496" s="18"/>
      <c r="C496" s="18"/>
      <c r="D496" s="18"/>
      <c r="E496" s="18"/>
      <c r="F496" s="18"/>
      <c r="G496" s="18">
        <v>26756</v>
      </c>
      <c r="H496" s="18"/>
      <c r="I496" s="18"/>
      <c r="J496" s="18"/>
      <c r="K496" s="18"/>
      <c r="L496" s="18"/>
      <c r="M496" s="18"/>
      <c r="N496" s="18">
        <v>26756</v>
      </c>
    </row>
    <row r="497" spans="1:14">
      <c r="A497" s="19" t="s">
        <v>961</v>
      </c>
      <c r="B497" s="18"/>
      <c r="C497" s="18"/>
      <c r="D497" s="18"/>
      <c r="E497" s="18"/>
      <c r="F497" s="18"/>
      <c r="G497" s="18">
        <v>0</v>
      </c>
      <c r="H497" s="18"/>
      <c r="I497" s="18"/>
      <c r="J497" s="18"/>
      <c r="K497" s="18"/>
      <c r="L497" s="18"/>
      <c r="M497" s="18"/>
      <c r="N497" s="18">
        <v>0</v>
      </c>
    </row>
    <row r="498" spans="1:14">
      <c r="A498" s="4" t="s">
        <v>1802</v>
      </c>
      <c r="B498" s="18"/>
      <c r="C498" s="18"/>
      <c r="D498" s="18"/>
      <c r="E498" s="18"/>
      <c r="F498" s="18"/>
      <c r="G498" s="18">
        <v>803098</v>
      </c>
      <c r="H498" s="18"/>
      <c r="I498" s="18"/>
      <c r="J498" s="18"/>
      <c r="K498" s="18"/>
      <c r="L498" s="18"/>
      <c r="M498" s="18"/>
      <c r="N498" s="18">
        <v>803098</v>
      </c>
    </row>
    <row r="499" spans="1:14">
      <c r="A499" s="4" t="s">
        <v>1592</v>
      </c>
      <c r="B499" s="18"/>
      <c r="C499" s="18"/>
      <c r="D499" s="18"/>
      <c r="E499" s="18"/>
      <c r="F499" s="18"/>
      <c r="G499" s="18">
        <v>1544668</v>
      </c>
      <c r="H499" s="18"/>
      <c r="I499" s="18"/>
      <c r="J499" s="18"/>
      <c r="K499" s="18"/>
      <c r="L499" s="18"/>
      <c r="M499" s="18"/>
      <c r="N499" s="18">
        <v>1544668</v>
      </c>
    </row>
    <row r="500" spans="1:14">
      <c r="A500" s="4" t="s">
        <v>1382</v>
      </c>
      <c r="B500" s="18"/>
      <c r="C500" s="18"/>
      <c r="D500" s="18"/>
      <c r="E500" s="18"/>
      <c r="F500" s="18"/>
      <c r="G500" s="18">
        <v>400000</v>
      </c>
      <c r="H500" s="18"/>
      <c r="I500" s="18"/>
      <c r="J500" s="18"/>
      <c r="K500" s="18"/>
      <c r="L500" s="18"/>
      <c r="M500" s="18"/>
      <c r="N500" s="18">
        <v>400000</v>
      </c>
    </row>
    <row r="501" spans="1:14">
      <c r="A501" s="4" t="s">
        <v>1172</v>
      </c>
      <c r="B501" s="18"/>
      <c r="C501" s="18"/>
      <c r="D501" s="18"/>
      <c r="E501" s="18"/>
      <c r="F501" s="18"/>
      <c r="G501" s="18">
        <v>26756</v>
      </c>
      <c r="H501" s="18"/>
      <c r="I501" s="18"/>
      <c r="J501" s="18"/>
      <c r="K501" s="18"/>
      <c r="L501" s="18"/>
      <c r="M501" s="18"/>
      <c r="N501" s="18">
        <v>26756</v>
      </c>
    </row>
    <row r="502" spans="1:14">
      <c r="A502" s="4" t="s">
        <v>962</v>
      </c>
      <c r="B502" s="18"/>
      <c r="C502" s="18"/>
      <c r="D502" s="18"/>
      <c r="E502" s="18"/>
      <c r="F502" s="18"/>
      <c r="G502" s="18">
        <v>0</v>
      </c>
      <c r="H502" s="18"/>
      <c r="I502" s="18"/>
      <c r="J502" s="18"/>
      <c r="K502" s="18"/>
      <c r="L502" s="18"/>
      <c r="M502" s="18"/>
      <c r="N502" s="18">
        <v>0</v>
      </c>
    </row>
    <row r="503" spans="1:14">
      <c r="A503" s="4">
        <v>835967</v>
      </c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</row>
    <row r="504" spans="1:14">
      <c r="A504" s="19">
        <v>393831</v>
      </c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</row>
    <row r="505" spans="1:14">
      <c r="A505" s="347">
        <v>1314229</v>
      </c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</row>
    <row r="506" spans="1:14">
      <c r="A506" s="489">
        <v>0</v>
      </c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</row>
    <row r="507" spans="1:14">
      <c r="A507" s="753">
        <v>407854.73</v>
      </c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</row>
    <row r="508" spans="1:14">
      <c r="A508" s="754" t="s">
        <v>898</v>
      </c>
      <c r="B508" s="18"/>
      <c r="C508" s="18"/>
      <c r="D508" s="18"/>
      <c r="E508" s="18">
        <v>835967</v>
      </c>
      <c r="F508" s="18"/>
      <c r="G508" s="18"/>
      <c r="H508" s="18"/>
      <c r="I508" s="18"/>
      <c r="J508" s="18"/>
      <c r="K508" s="18"/>
      <c r="L508" s="18"/>
      <c r="M508" s="18"/>
      <c r="N508" s="18">
        <v>835967</v>
      </c>
    </row>
    <row r="509" spans="1:14">
      <c r="A509" s="754" t="s">
        <v>901</v>
      </c>
      <c r="B509" s="18"/>
      <c r="C509" s="18"/>
      <c r="D509" s="18"/>
      <c r="E509" s="18">
        <v>1314229</v>
      </c>
      <c r="F509" s="18"/>
      <c r="G509" s="18"/>
      <c r="H509" s="18"/>
      <c r="I509" s="18"/>
      <c r="J509" s="18"/>
      <c r="K509" s="18"/>
      <c r="L509" s="18"/>
      <c r="M509" s="18"/>
      <c r="N509" s="18">
        <v>1314229</v>
      </c>
    </row>
    <row r="510" spans="1:14">
      <c r="A510" s="754" t="s">
        <v>903</v>
      </c>
      <c r="B510" s="18"/>
      <c r="C510" s="18"/>
      <c r="D510" s="18"/>
      <c r="E510" s="18">
        <v>393831</v>
      </c>
      <c r="F510" s="18"/>
      <c r="G510" s="18"/>
      <c r="H510" s="18"/>
      <c r="I510" s="18"/>
      <c r="J510" s="18"/>
      <c r="K510" s="18"/>
      <c r="L510" s="18"/>
      <c r="M510" s="18"/>
      <c r="N510" s="18">
        <v>393831</v>
      </c>
    </row>
    <row r="511" spans="1:14">
      <c r="A511" s="754" t="s">
        <v>905</v>
      </c>
      <c r="B511" s="18"/>
      <c r="C511" s="18"/>
      <c r="D511" s="18"/>
      <c r="E511" s="18">
        <v>0</v>
      </c>
      <c r="F511" s="18"/>
      <c r="G511" s="18"/>
      <c r="H511" s="18"/>
      <c r="I511" s="18"/>
      <c r="J511" s="18"/>
      <c r="K511" s="18"/>
      <c r="L511" s="18"/>
      <c r="M511" s="18"/>
      <c r="N511" s="18">
        <v>0</v>
      </c>
    </row>
    <row r="512" spans="1:14">
      <c r="A512" s="754" t="s">
        <v>174</v>
      </c>
      <c r="B512" s="18"/>
      <c r="C512" s="18"/>
      <c r="D512" s="18"/>
      <c r="E512" s="18">
        <v>407854.73</v>
      </c>
      <c r="F512" s="18"/>
      <c r="G512" s="18"/>
      <c r="H512" s="18"/>
      <c r="I512" s="18"/>
      <c r="J512" s="18"/>
      <c r="K512" s="18"/>
      <c r="L512" s="18"/>
      <c r="M512" s="18"/>
      <c r="N512" s="18">
        <v>407854.73</v>
      </c>
    </row>
    <row r="513" spans="1:14">
      <c r="A513" s="489" t="s">
        <v>1755</v>
      </c>
      <c r="B513" s="18"/>
      <c r="C513" s="18"/>
      <c r="D513" s="18"/>
      <c r="E513" s="18">
        <v>835967</v>
      </c>
      <c r="F513" s="18"/>
      <c r="G513" s="18"/>
      <c r="H513" s="18"/>
      <c r="I513" s="18"/>
      <c r="J513" s="18"/>
      <c r="K513" s="18"/>
      <c r="L513" s="18"/>
      <c r="M513" s="18"/>
      <c r="N513" s="18">
        <v>835967</v>
      </c>
    </row>
    <row r="514" spans="1:14">
      <c r="A514" s="489" t="s">
        <v>1545</v>
      </c>
      <c r="B514" s="18"/>
      <c r="C514" s="18"/>
      <c r="D514" s="18"/>
      <c r="E514" s="18">
        <v>1314229</v>
      </c>
      <c r="F514" s="18"/>
      <c r="G514" s="18"/>
      <c r="H514" s="18"/>
      <c r="I514" s="18"/>
      <c r="J514" s="18"/>
      <c r="K514" s="18"/>
      <c r="L514" s="18"/>
      <c r="M514" s="18"/>
      <c r="N514" s="18">
        <v>1314229</v>
      </c>
    </row>
    <row r="515" spans="1:14">
      <c r="A515" s="489" t="s">
        <v>1335</v>
      </c>
      <c r="B515" s="18"/>
      <c r="C515" s="18"/>
      <c r="D515" s="18"/>
      <c r="E515" s="18">
        <v>393831</v>
      </c>
      <c r="F515" s="18"/>
      <c r="G515" s="18"/>
      <c r="H515" s="18"/>
      <c r="I515" s="18"/>
      <c r="J515" s="18"/>
      <c r="K515" s="18"/>
      <c r="L515" s="18"/>
      <c r="M515" s="18"/>
      <c r="N515" s="18">
        <v>393831</v>
      </c>
    </row>
    <row r="516" spans="1:14">
      <c r="A516" s="489" t="s">
        <v>1125</v>
      </c>
      <c r="B516" s="18"/>
      <c r="C516" s="18"/>
      <c r="D516" s="18"/>
      <c r="E516" s="18">
        <v>0</v>
      </c>
      <c r="F516" s="18"/>
      <c r="G516" s="18"/>
      <c r="H516" s="18"/>
      <c r="I516" s="18"/>
      <c r="J516" s="18"/>
      <c r="K516" s="18"/>
      <c r="L516" s="18"/>
      <c r="M516" s="18"/>
      <c r="N516" s="18">
        <v>0</v>
      </c>
    </row>
    <row r="517" spans="1:14">
      <c r="A517" s="489" t="s">
        <v>915</v>
      </c>
      <c r="B517" s="18"/>
      <c r="C517" s="18"/>
      <c r="D517" s="18"/>
      <c r="E517" s="18">
        <v>407854.73</v>
      </c>
      <c r="F517" s="18"/>
      <c r="G517" s="18"/>
      <c r="H517" s="18"/>
      <c r="I517" s="18"/>
      <c r="J517" s="18"/>
      <c r="K517" s="18"/>
      <c r="L517" s="18"/>
      <c r="M517" s="18"/>
      <c r="N517" s="18">
        <v>407854.73</v>
      </c>
    </row>
    <row r="518" spans="1:14">
      <c r="A518" s="347" t="s">
        <v>1803</v>
      </c>
      <c r="B518" s="18"/>
      <c r="C518" s="18"/>
      <c r="D518" s="18"/>
      <c r="E518" s="18">
        <v>835967</v>
      </c>
      <c r="F518" s="18"/>
      <c r="G518" s="18"/>
      <c r="H518" s="18"/>
      <c r="I518" s="18"/>
      <c r="J518" s="18"/>
      <c r="K518" s="18"/>
      <c r="L518" s="18"/>
      <c r="M518" s="18"/>
      <c r="N518" s="18">
        <v>835967</v>
      </c>
    </row>
    <row r="519" spans="1:14">
      <c r="A519" s="347" t="s">
        <v>1593</v>
      </c>
      <c r="B519" s="18"/>
      <c r="C519" s="18"/>
      <c r="D519" s="18"/>
      <c r="E519" s="18">
        <v>1314229</v>
      </c>
      <c r="F519" s="18"/>
      <c r="G519" s="18"/>
      <c r="H519" s="18"/>
      <c r="I519" s="18"/>
      <c r="J519" s="18"/>
      <c r="K519" s="18"/>
      <c r="L519" s="18"/>
      <c r="M519" s="18"/>
      <c r="N519" s="18">
        <v>1314229</v>
      </c>
    </row>
    <row r="520" spans="1:14">
      <c r="A520" s="347" t="s">
        <v>1383</v>
      </c>
      <c r="B520" s="18"/>
      <c r="C520" s="18"/>
      <c r="D520" s="18"/>
      <c r="E520" s="18">
        <v>393831</v>
      </c>
      <c r="F520" s="18"/>
      <c r="G520" s="18"/>
      <c r="H520" s="18"/>
      <c r="I520" s="18"/>
      <c r="J520" s="18"/>
      <c r="K520" s="18"/>
      <c r="L520" s="18"/>
      <c r="M520" s="18"/>
      <c r="N520" s="18">
        <v>393831</v>
      </c>
    </row>
    <row r="521" spans="1:14">
      <c r="A521" s="347" t="s">
        <v>1173</v>
      </c>
      <c r="B521" s="18"/>
      <c r="C521" s="18"/>
      <c r="D521" s="18"/>
      <c r="E521" s="18">
        <v>0</v>
      </c>
      <c r="F521" s="18"/>
      <c r="G521" s="18"/>
      <c r="H521" s="18"/>
      <c r="I521" s="18"/>
      <c r="J521" s="18"/>
      <c r="K521" s="18"/>
      <c r="L521" s="18"/>
      <c r="M521" s="18"/>
      <c r="N521" s="18">
        <v>0</v>
      </c>
    </row>
    <row r="522" spans="1:14">
      <c r="A522" s="347" t="s">
        <v>963</v>
      </c>
      <c r="B522" s="18"/>
      <c r="C522" s="18"/>
      <c r="D522" s="18"/>
      <c r="E522" s="18">
        <v>407854.73</v>
      </c>
      <c r="F522" s="18"/>
      <c r="G522" s="18"/>
      <c r="H522" s="18"/>
      <c r="I522" s="18"/>
      <c r="J522" s="18"/>
      <c r="K522" s="18"/>
      <c r="L522" s="18"/>
      <c r="M522" s="18"/>
      <c r="N522" s="18">
        <v>407854.73</v>
      </c>
    </row>
    <row r="523" spans="1:14">
      <c r="A523" s="19" t="s">
        <v>1804</v>
      </c>
      <c r="B523" s="18"/>
      <c r="C523" s="18"/>
      <c r="D523" s="18"/>
      <c r="E523" s="18">
        <v>835967</v>
      </c>
      <c r="F523" s="18"/>
      <c r="G523" s="18"/>
      <c r="H523" s="18"/>
      <c r="I523" s="18"/>
      <c r="J523" s="18"/>
      <c r="K523" s="18"/>
      <c r="L523" s="18"/>
      <c r="M523" s="18"/>
      <c r="N523" s="18">
        <v>835967</v>
      </c>
    </row>
    <row r="524" spans="1:14">
      <c r="A524" s="19" t="s">
        <v>1594</v>
      </c>
      <c r="B524" s="18"/>
      <c r="C524" s="18"/>
      <c r="D524" s="18"/>
      <c r="E524" s="18">
        <v>1314229</v>
      </c>
      <c r="F524" s="18"/>
      <c r="G524" s="18"/>
      <c r="H524" s="18"/>
      <c r="I524" s="18"/>
      <c r="J524" s="18"/>
      <c r="K524" s="18"/>
      <c r="L524" s="18"/>
      <c r="M524" s="18"/>
      <c r="N524" s="18">
        <v>1314229</v>
      </c>
    </row>
    <row r="525" spans="1:14">
      <c r="A525" s="19" t="s">
        <v>1384</v>
      </c>
      <c r="B525" s="18"/>
      <c r="C525" s="18"/>
      <c r="D525" s="18"/>
      <c r="E525" s="18">
        <v>393831</v>
      </c>
      <c r="F525" s="18"/>
      <c r="G525" s="18"/>
      <c r="H525" s="18"/>
      <c r="I525" s="18"/>
      <c r="J525" s="18"/>
      <c r="K525" s="18"/>
      <c r="L525" s="18"/>
      <c r="M525" s="18"/>
      <c r="N525" s="18">
        <v>393831</v>
      </c>
    </row>
    <row r="526" spans="1:14">
      <c r="A526" s="19" t="s">
        <v>1174</v>
      </c>
      <c r="B526" s="18"/>
      <c r="C526" s="18"/>
      <c r="D526" s="18"/>
      <c r="E526" s="18">
        <v>0</v>
      </c>
      <c r="F526" s="18"/>
      <c r="G526" s="18"/>
      <c r="H526" s="18"/>
      <c r="I526" s="18"/>
      <c r="J526" s="18"/>
      <c r="K526" s="18"/>
      <c r="L526" s="18"/>
      <c r="M526" s="18"/>
      <c r="N526" s="18">
        <v>0</v>
      </c>
    </row>
    <row r="527" spans="1:14">
      <c r="A527" s="19" t="s">
        <v>964</v>
      </c>
      <c r="B527" s="18"/>
      <c r="C527" s="18"/>
      <c r="D527" s="18"/>
      <c r="E527" s="18">
        <v>407854.73</v>
      </c>
      <c r="F527" s="18"/>
      <c r="G527" s="18"/>
      <c r="H527" s="18"/>
      <c r="I527" s="18"/>
      <c r="J527" s="18"/>
      <c r="K527" s="18"/>
      <c r="L527" s="18"/>
      <c r="M527" s="18"/>
      <c r="N527" s="18">
        <v>407854.73</v>
      </c>
    </row>
    <row r="528" spans="1:14">
      <c r="A528" s="4" t="s">
        <v>1805</v>
      </c>
      <c r="B528" s="18"/>
      <c r="C528" s="18"/>
      <c r="D528" s="18"/>
      <c r="E528" s="18">
        <v>835967</v>
      </c>
      <c r="F528" s="18"/>
      <c r="G528" s="18"/>
      <c r="H528" s="18"/>
      <c r="I528" s="18"/>
      <c r="J528" s="18"/>
      <c r="K528" s="18"/>
      <c r="L528" s="18"/>
      <c r="M528" s="18"/>
      <c r="N528" s="18">
        <v>835967</v>
      </c>
    </row>
    <row r="529" spans="1:14">
      <c r="A529" s="4" t="s">
        <v>1595</v>
      </c>
      <c r="B529" s="18"/>
      <c r="C529" s="18"/>
      <c r="D529" s="18"/>
      <c r="E529" s="18">
        <v>1314229</v>
      </c>
      <c r="F529" s="18"/>
      <c r="G529" s="18"/>
      <c r="H529" s="18"/>
      <c r="I529" s="18"/>
      <c r="J529" s="18"/>
      <c r="K529" s="18"/>
      <c r="L529" s="18"/>
      <c r="M529" s="18"/>
      <c r="N529" s="18">
        <v>1314229</v>
      </c>
    </row>
    <row r="530" spans="1:14">
      <c r="A530" s="4" t="s">
        <v>1385</v>
      </c>
      <c r="B530" s="18"/>
      <c r="C530" s="18"/>
      <c r="D530" s="18"/>
      <c r="E530" s="18">
        <v>393831</v>
      </c>
      <c r="F530" s="18"/>
      <c r="G530" s="18"/>
      <c r="H530" s="18"/>
      <c r="I530" s="18"/>
      <c r="J530" s="18"/>
      <c r="K530" s="18"/>
      <c r="L530" s="18"/>
      <c r="M530" s="18"/>
      <c r="N530" s="18">
        <v>393831</v>
      </c>
    </row>
    <row r="531" spans="1:14">
      <c r="A531" s="4" t="s">
        <v>1175</v>
      </c>
      <c r="B531" s="18"/>
      <c r="C531" s="18"/>
      <c r="D531" s="18"/>
      <c r="E531" s="18">
        <v>0</v>
      </c>
      <c r="F531" s="18"/>
      <c r="G531" s="18"/>
      <c r="H531" s="18"/>
      <c r="I531" s="18"/>
      <c r="J531" s="18"/>
      <c r="K531" s="18"/>
      <c r="L531" s="18"/>
      <c r="M531" s="18"/>
      <c r="N531" s="18">
        <v>0</v>
      </c>
    </row>
    <row r="532" spans="1:14">
      <c r="A532" s="4" t="s">
        <v>965</v>
      </c>
      <c r="B532" s="18"/>
      <c r="C532" s="18"/>
      <c r="D532" s="18"/>
      <c r="E532" s="18">
        <v>407854.73</v>
      </c>
      <c r="F532" s="18"/>
      <c r="G532" s="18"/>
      <c r="H532" s="18"/>
      <c r="I532" s="18"/>
      <c r="J532" s="18"/>
      <c r="K532" s="18"/>
      <c r="L532" s="18"/>
      <c r="M532" s="18"/>
      <c r="N532" s="18">
        <v>407854.73</v>
      </c>
    </row>
    <row r="533" spans="1:14">
      <c r="A533" s="4">
        <v>853424</v>
      </c>
      <c r="B533" s="18"/>
      <c r="C533" s="18"/>
      <c r="D533" s="18"/>
      <c r="E533" s="18"/>
      <c r="F533" s="18"/>
      <c r="G533" s="18"/>
      <c r="H533" s="18"/>
      <c r="I533" s="18"/>
      <c r="J533" s="18"/>
      <c r="K533" s="18"/>
      <c r="L533" s="18"/>
      <c r="M533" s="18"/>
      <c r="N533" s="18"/>
    </row>
    <row r="534" spans="1:14">
      <c r="A534" s="19">
        <v>380000</v>
      </c>
      <c r="B534" s="18"/>
      <c r="C534" s="18"/>
      <c r="D534" s="18"/>
      <c r="E534" s="18"/>
      <c r="F534" s="18"/>
      <c r="G534" s="18"/>
      <c r="H534" s="18"/>
      <c r="I534" s="18"/>
      <c r="J534" s="18"/>
      <c r="K534" s="18"/>
      <c r="L534" s="18"/>
      <c r="M534" s="18"/>
      <c r="N534" s="18"/>
    </row>
    <row r="535" spans="1:14">
      <c r="A535" s="347">
        <v>1530227</v>
      </c>
      <c r="B535" s="18"/>
      <c r="C535" s="18"/>
      <c r="D535" s="18"/>
      <c r="E535" s="18"/>
      <c r="F535" s="18"/>
      <c r="G535" s="18"/>
      <c r="H535" s="18"/>
      <c r="I535" s="18"/>
      <c r="J535" s="18"/>
      <c r="K535" s="18"/>
      <c r="L535" s="18"/>
      <c r="M535" s="18"/>
      <c r="N535" s="18"/>
    </row>
    <row r="536" spans="1:14">
      <c r="A536" s="489">
        <v>53682</v>
      </c>
      <c r="B536" s="18"/>
      <c r="C536" s="18"/>
      <c r="D536" s="18"/>
      <c r="E536" s="18"/>
      <c r="F536" s="18"/>
      <c r="G536" s="18"/>
      <c r="H536" s="18"/>
      <c r="I536" s="18"/>
      <c r="J536" s="18"/>
      <c r="K536" s="18"/>
      <c r="L536" s="18"/>
      <c r="M536" s="18"/>
      <c r="N536" s="18"/>
    </row>
    <row r="537" spans="1:14">
      <c r="A537" s="753">
        <v>0</v>
      </c>
      <c r="B537" s="18"/>
      <c r="C537" s="18"/>
      <c r="D537" s="18"/>
      <c r="E537" s="18"/>
      <c r="F537" s="18"/>
      <c r="G537" s="18"/>
      <c r="H537" s="18"/>
      <c r="I537" s="18"/>
      <c r="J537" s="18"/>
      <c r="K537" s="18"/>
      <c r="L537" s="18"/>
      <c r="M537" s="18"/>
      <c r="N537" s="18"/>
    </row>
    <row r="538" spans="1:14">
      <c r="A538" s="754" t="s">
        <v>898</v>
      </c>
      <c r="B538" s="18"/>
      <c r="C538" s="18">
        <v>853424</v>
      </c>
      <c r="D538" s="18"/>
      <c r="E538" s="18"/>
      <c r="F538" s="18"/>
      <c r="G538" s="18"/>
      <c r="H538" s="18"/>
      <c r="I538" s="18"/>
      <c r="J538" s="18"/>
      <c r="K538" s="18"/>
      <c r="L538" s="18"/>
      <c r="M538" s="18"/>
      <c r="N538" s="18">
        <v>853424</v>
      </c>
    </row>
    <row r="539" spans="1:14">
      <c r="A539" s="754" t="s">
        <v>901</v>
      </c>
      <c r="B539" s="18"/>
      <c r="C539" s="18">
        <v>1530227</v>
      </c>
      <c r="D539" s="18"/>
      <c r="E539" s="18"/>
      <c r="F539" s="18"/>
      <c r="G539" s="18"/>
      <c r="H539" s="18"/>
      <c r="I539" s="18"/>
      <c r="J539" s="18"/>
      <c r="K539" s="18"/>
      <c r="L539" s="18"/>
      <c r="M539" s="18"/>
      <c r="N539" s="18">
        <v>1530227</v>
      </c>
    </row>
    <row r="540" spans="1:14">
      <c r="A540" s="754" t="s">
        <v>903</v>
      </c>
      <c r="B540" s="18"/>
      <c r="C540" s="18">
        <v>380000</v>
      </c>
      <c r="D540" s="18"/>
      <c r="E540" s="18"/>
      <c r="F540" s="18"/>
      <c r="G540" s="18"/>
      <c r="H540" s="18"/>
      <c r="I540" s="18"/>
      <c r="J540" s="18"/>
      <c r="K540" s="18"/>
      <c r="L540" s="18"/>
      <c r="M540" s="18"/>
      <c r="N540" s="18">
        <v>380000</v>
      </c>
    </row>
    <row r="541" spans="1:14">
      <c r="A541" s="754" t="s">
        <v>905</v>
      </c>
      <c r="B541" s="18"/>
      <c r="C541" s="18">
        <v>53682</v>
      </c>
      <c r="D541" s="18"/>
      <c r="E541" s="18"/>
      <c r="F541" s="18"/>
      <c r="G541" s="18"/>
      <c r="H541" s="18"/>
      <c r="I541" s="18"/>
      <c r="J541" s="18"/>
      <c r="K541" s="18"/>
      <c r="L541" s="18"/>
      <c r="M541" s="18"/>
      <c r="N541" s="18">
        <v>53682</v>
      </c>
    </row>
    <row r="542" spans="1:14">
      <c r="A542" s="754" t="s">
        <v>174</v>
      </c>
      <c r="B542" s="18"/>
      <c r="C542" s="18">
        <v>0</v>
      </c>
      <c r="D542" s="18"/>
      <c r="E542" s="18"/>
      <c r="F542" s="18"/>
      <c r="G542" s="18"/>
      <c r="H542" s="18"/>
      <c r="I542" s="18"/>
      <c r="J542" s="18"/>
      <c r="K542" s="18"/>
      <c r="L542" s="18"/>
      <c r="M542" s="18"/>
      <c r="N542" s="18">
        <v>0</v>
      </c>
    </row>
    <row r="543" spans="1:14">
      <c r="A543" s="489" t="s">
        <v>1806</v>
      </c>
      <c r="B543" s="18"/>
      <c r="C543" s="18">
        <v>853424</v>
      </c>
      <c r="D543" s="18"/>
      <c r="E543" s="18"/>
      <c r="F543" s="18"/>
      <c r="G543" s="18"/>
      <c r="H543" s="18"/>
      <c r="I543" s="18"/>
      <c r="J543" s="18"/>
      <c r="K543" s="18"/>
      <c r="L543" s="18"/>
      <c r="M543" s="18"/>
      <c r="N543" s="18">
        <v>853424</v>
      </c>
    </row>
    <row r="544" spans="1:14">
      <c r="A544" s="489" t="s">
        <v>1596</v>
      </c>
      <c r="B544" s="18"/>
      <c r="C544" s="18">
        <v>1530227</v>
      </c>
      <c r="D544" s="18"/>
      <c r="E544" s="18"/>
      <c r="F544" s="18"/>
      <c r="G544" s="18"/>
      <c r="H544" s="18"/>
      <c r="I544" s="18"/>
      <c r="J544" s="18"/>
      <c r="K544" s="18"/>
      <c r="L544" s="18"/>
      <c r="M544" s="18"/>
      <c r="N544" s="18">
        <v>1530227</v>
      </c>
    </row>
    <row r="545" spans="1:14">
      <c r="A545" s="489" t="s">
        <v>1386</v>
      </c>
      <c r="B545" s="18"/>
      <c r="C545" s="18">
        <v>380000</v>
      </c>
      <c r="D545" s="18"/>
      <c r="E545" s="18"/>
      <c r="F545" s="18"/>
      <c r="G545" s="18"/>
      <c r="H545" s="18"/>
      <c r="I545" s="18"/>
      <c r="J545" s="18"/>
      <c r="K545" s="18"/>
      <c r="L545" s="18"/>
      <c r="M545" s="18"/>
      <c r="N545" s="18">
        <v>380000</v>
      </c>
    </row>
    <row r="546" spans="1:14">
      <c r="A546" s="489" t="s">
        <v>1176</v>
      </c>
      <c r="B546" s="18"/>
      <c r="C546" s="18">
        <v>53682</v>
      </c>
      <c r="D546" s="18"/>
      <c r="E546" s="18"/>
      <c r="F546" s="18"/>
      <c r="G546" s="18"/>
      <c r="H546" s="18"/>
      <c r="I546" s="18"/>
      <c r="J546" s="18"/>
      <c r="K546" s="18"/>
      <c r="L546" s="18"/>
      <c r="M546" s="18"/>
      <c r="N546" s="18">
        <v>53682</v>
      </c>
    </row>
    <row r="547" spans="1:14">
      <c r="A547" s="489" t="s">
        <v>966</v>
      </c>
      <c r="B547" s="18"/>
      <c r="C547" s="18">
        <v>0</v>
      </c>
      <c r="D547" s="18"/>
      <c r="E547" s="18"/>
      <c r="F547" s="18"/>
      <c r="G547" s="18"/>
      <c r="H547" s="18"/>
      <c r="I547" s="18"/>
      <c r="J547" s="18"/>
      <c r="K547" s="18"/>
      <c r="L547" s="18"/>
      <c r="M547" s="18"/>
      <c r="N547" s="18">
        <v>0</v>
      </c>
    </row>
    <row r="548" spans="1:14">
      <c r="A548" s="347" t="s">
        <v>1807</v>
      </c>
      <c r="B548" s="18"/>
      <c r="C548" s="18">
        <v>853424</v>
      </c>
      <c r="D548" s="18"/>
      <c r="E548" s="18"/>
      <c r="F548" s="18"/>
      <c r="G548" s="18"/>
      <c r="H548" s="18"/>
      <c r="I548" s="18"/>
      <c r="J548" s="18"/>
      <c r="K548" s="18"/>
      <c r="L548" s="18"/>
      <c r="M548" s="18"/>
      <c r="N548" s="18">
        <v>853424</v>
      </c>
    </row>
    <row r="549" spans="1:14">
      <c r="A549" s="347" t="s">
        <v>1597</v>
      </c>
      <c r="B549" s="18"/>
      <c r="C549" s="18">
        <v>1530227</v>
      </c>
      <c r="D549" s="18"/>
      <c r="E549" s="18"/>
      <c r="F549" s="18"/>
      <c r="G549" s="18"/>
      <c r="H549" s="18"/>
      <c r="I549" s="18"/>
      <c r="J549" s="18"/>
      <c r="K549" s="18"/>
      <c r="L549" s="18"/>
      <c r="M549" s="18"/>
      <c r="N549" s="18">
        <v>1530227</v>
      </c>
    </row>
    <row r="550" spans="1:14">
      <c r="A550" s="347" t="s">
        <v>1387</v>
      </c>
      <c r="B550" s="18"/>
      <c r="C550" s="18">
        <v>380000</v>
      </c>
      <c r="D550" s="18"/>
      <c r="E550" s="18"/>
      <c r="F550" s="18"/>
      <c r="G550" s="18"/>
      <c r="H550" s="18"/>
      <c r="I550" s="18"/>
      <c r="J550" s="18"/>
      <c r="K550" s="18"/>
      <c r="L550" s="18"/>
      <c r="M550" s="18"/>
      <c r="N550" s="18">
        <v>380000</v>
      </c>
    </row>
    <row r="551" spans="1:14">
      <c r="A551" s="347" t="s">
        <v>1177</v>
      </c>
      <c r="B551" s="18"/>
      <c r="C551" s="18">
        <v>53682</v>
      </c>
      <c r="D551" s="18"/>
      <c r="E551" s="18"/>
      <c r="F551" s="18"/>
      <c r="G551" s="18"/>
      <c r="H551" s="18"/>
      <c r="I551" s="18"/>
      <c r="J551" s="18"/>
      <c r="K551" s="18"/>
      <c r="L551" s="18"/>
      <c r="M551" s="18"/>
      <c r="N551" s="18">
        <v>53682</v>
      </c>
    </row>
    <row r="552" spans="1:14">
      <c r="A552" s="347" t="s">
        <v>967</v>
      </c>
      <c r="B552" s="18"/>
      <c r="C552" s="18">
        <v>0</v>
      </c>
      <c r="D552" s="18"/>
      <c r="E552" s="18"/>
      <c r="F552" s="18"/>
      <c r="G552" s="18"/>
      <c r="H552" s="18"/>
      <c r="I552" s="18"/>
      <c r="J552" s="18"/>
      <c r="K552" s="18"/>
      <c r="L552" s="18"/>
      <c r="M552" s="18"/>
      <c r="N552" s="18">
        <v>0</v>
      </c>
    </row>
    <row r="553" spans="1:14">
      <c r="A553" s="19" t="s">
        <v>1808</v>
      </c>
      <c r="B553" s="18"/>
      <c r="C553" s="18">
        <v>853424</v>
      </c>
      <c r="D553" s="18"/>
      <c r="E553" s="18"/>
      <c r="F553" s="18"/>
      <c r="G553" s="18"/>
      <c r="H553" s="18"/>
      <c r="I553" s="18"/>
      <c r="J553" s="18"/>
      <c r="K553" s="18"/>
      <c r="L553" s="18"/>
      <c r="M553" s="18"/>
      <c r="N553" s="18">
        <v>853424</v>
      </c>
    </row>
    <row r="554" spans="1:14">
      <c r="A554" s="19" t="s">
        <v>1598</v>
      </c>
      <c r="B554" s="18"/>
      <c r="C554" s="18">
        <v>1530227</v>
      </c>
      <c r="D554" s="18"/>
      <c r="E554" s="18"/>
      <c r="F554" s="18"/>
      <c r="G554" s="18"/>
      <c r="H554" s="18"/>
      <c r="I554" s="18"/>
      <c r="J554" s="18"/>
      <c r="K554" s="18"/>
      <c r="L554" s="18"/>
      <c r="M554" s="18"/>
      <c r="N554" s="18">
        <v>1530227</v>
      </c>
    </row>
    <row r="555" spans="1:14">
      <c r="A555" s="19" t="s">
        <v>1388</v>
      </c>
      <c r="B555" s="18"/>
      <c r="C555" s="18">
        <v>380000</v>
      </c>
      <c r="D555" s="18"/>
      <c r="E555" s="18"/>
      <c r="F555" s="18"/>
      <c r="G555" s="18"/>
      <c r="H555" s="18"/>
      <c r="I555" s="18"/>
      <c r="J555" s="18"/>
      <c r="K555" s="18"/>
      <c r="L555" s="18"/>
      <c r="M555" s="18"/>
      <c r="N555" s="18">
        <v>380000</v>
      </c>
    </row>
    <row r="556" spans="1:14">
      <c r="A556" s="19" t="s">
        <v>1178</v>
      </c>
      <c r="B556" s="18"/>
      <c r="C556" s="18">
        <v>53682</v>
      </c>
      <c r="D556" s="18"/>
      <c r="E556" s="18"/>
      <c r="F556" s="18"/>
      <c r="G556" s="18"/>
      <c r="H556" s="18"/>
      <c r="I556" s="18"/>
      <c r="J556" s="18"/>
      <c r="K556" s="18"/>
      <c r="L556" s="18"/>
      <c r="M556" s="18"/>
      <c r="N556" s="18">
        <v>53682</v>
      </c>
    </row>
    <row r="557" spans="1:14">
      <c r="A557" s="19" t="s">
        <v>968</v>
      </c>
      <c r="B557" s="18"/>
      <c r="C557" s="18">
        <v>0</v>
      </c>
      <c r="D557" s="18"/>
      <c r="E557" s="18"/>
      <c r="F557" s="18"/>
      <c r="G557" s="18"/>
      <c r="H557" s="18"/>
      <c r="I557" s="18"/>
      <c r="J557" s="18"/>
      <c r="K557" s="18"/>
      <c r="L557" s="18"/>
      <c r="M557" s="18"/>
      <c r="N557" s="18">
        <v>0</v>
      </c>
    </row>
    <row r="558" spans="1:14">
      <c r="A558" s="4" t="s">
        <v>1809</v>
      </c>
      <c r="B558" s="18"/>
      <c r="C558" s="18">
        <v>853424</v>
      </c>
      <c r="D558" s="18"/>
      <c r="E558" s="18"/>
      <c r="F558" s="18"/>
      <c r="G558" s="18"/>
      <c r="H558" s="18"/>
      <c r="I558" s="18"/>
      <c r="J558" s="18"/>
      <c r="K558" s="18"/>
      <c r="L558" s="18"/>
      <c r="M558" s="18"/>
      <c r="N558" s="18">
        <v>853424</v>
      </c>
    </row>
    <row r="559" spans="1:14">
      <c r="A559" s="4" t="s">
        <v>1599</v>
      </c>
      <c r="B559" s="18"/>
      <c r="C559" s="18">
        <v>1530227</v>
      </c>
      <c r="D559" s="18"/>
      <c r="E559" s="18"/>
      <c r="F559" s="18"/>
      <c r="G559" s="18"/>
      <c r="H559" s="18"/>
      <c r="I559" s="18"/>
      <c r="J559" s="18"/>
      <c r="K559" s="18"/>
      <c r="L559" s="18"/>
      <c r="M559" s="18"/>
      <c r="N559" s="18">
        <v>1530227</v>
      </c>
    </row>
    <row r="560" spans="1:14">
      <c r="A560" s="4" t="s">
        <v>1389</v>
      </c>
      <c r="B560" s="18"/>
      <c r="C560" s="18">
        <v>380000</v>
      </c>
      <c r="D560" s="18"/>
      <c r="E560" s="18"/>
      <c r="F560" s="18"/>
      <c r="G560" s="18"/>
      <c r="H560" s="18"/>
      <c r="I560" s="18"/>
      <c r="J560" s="18"/>
      <c r="K560" s="18"/>
      <c r="L560" s="18"/>
      <c r="M560" s="18"/>
      <c r="N560" s="18">
        <v>380000</v>
      </c>
    </row>
    <row r="561" spans="1:14">
      <c r="A561" s="4" t="s">
        <v>1179</v>
      </c>
      <c r="B561" s="18"/>
      <c r="C561" s="18">
        <v>53682</v>
      </c>
      <c r="D561" s="18"/>
      <c r="E561" s="18"/>
      <c r="F561" s="18"/>
      <c r="G561" s="18"/>
      <c r="H561" s="18"/>
      <c r="I561" s="18"/>
      <c r="J561" s="18"/>
      <c r="K561" s="18"/>
      <c r="L561" s="18"/>
      <c r="M561" s="18"/>
      <c r="N561" s="18">
        <v>53682</v>
      </c>
    </row>
    <row r="562" spans="1:14">
      <c r="A562" s="4" t="s">
        <v>969</v>
      </c>
      <c r="B562" s="18"/>
      <c r="C562" s="18">
        <v>0</v>
      </c>
      <c r="D562" s="18"/>
      <c r="E562" s="18"/>
      <c r="F562" s="18"/>
      <c r="G562" s="18"/>
      <c r="H562" s="18"/>
      <c r="I562" s="18"/>
      <c r="J562" s="18"/>
      <c r="K562" s="18"/>
      <c r="L562" s="18"/>
      <c r="M562" s="18"/>
      <c r="N562" s="18">
        <v>0</v>
      </c>
    </row>
    <row r="563" spans="1:14">
      <c r="A563" s="4">
        <v>863024</v>
      </c>
      <c r="B563" s="18"/>
      <c r="C563" s="18"/>
      <c r="D563" s="18"/>
      <c r="E563" s="18"/>
      <c r="F563" s="18"/>
      <c r="G563" s="18"/>
      <c r="H563" s="18"/>
      <c r="I563" s="18"/>
      <c r="J563" s="18"/>
      <c r="K563" s="18"/>
      <c r="L563" s="18"/>
      <c r="M563" s="18"/>
      <c r="N563" s="18"/>
    </row>
    <row r="564" spans="1:14">
      <c r="A564" s="19">
        <v>320000</v>
      </c>
      <c r="B564" s="18"/>
      <c r="C564" s="18"/>
      <c r="D564" s="18"/>
      <c r="E564" s="18"/>
      <c r="F564" s="18"/>
      <c r="G564" s="18"/>
      <c r="H564" s="18"/>
      <c r="I564" s="18"/>
      <c r="J564" s="18"/>
      <c r="K564" s="18"/>
      <c r="L564" s="18"/>
      <c r="M564" s="18"/>
      <c r="N564" s="18"/>
    </row>
    <row r="565" spans="1:14">
      <c r="A565" s="347">
        <v>1596953.37</v>
      </c>
      <c r="B565" s="18"/>
      <c r="C565" s="18"/>
      <c r="D565" s="18"/>
      <c r="E565" s="18"/>
      <c r="F565" s="18"/>
      <c r="G565" s="18"/>
      <c r="H565" s="18"/>
      <c r="I565" s="18"/>
      <c r="J565" s="18"/>
      <c r="K565" s="18"/>
      <c r="L565" s="18"/>
      <c r="M565" s="18"/>
      <c r="N565" s="18"/>
    </row>
    <row r="566" spans="1:14">
      <c r="A566" s="489">
        <v>5055</v>
      </c>
      <c r="B566" s="18"/>
      <c r="C566" s="18"/>
      <c r="D566" s="18"/>
      <c r="E566" s="18"/>
      <c r="F566" s="18"/>
      <c r="G566" s="18"/>
      <c r="H566" s="18"/>
      <c r="I566" s="18"/>
      <c r="J566" s="18"/>
      <c r="K566" s="18"/>
      <c r="L566" s="18"/>
      <c r="M566" s="18"/>
      <c r="N566" s="18"/>
    </row>
    <row r="567" spans="1:14">
      <c r="A567" s="753">
        <v>0</v>
      </c>
      <c r="B567" s="18"/>
      <c r="C567" s="18"/>
      <c r="D567" s="18"/>
      <c r="E567" s="18"/>
      <c r="F567" s="18"/>
      <c r="G567" s="18"/>
      <c r="H567" s="18"/>
      <c r="I567" s="18"/>
      <c r="J567" s="18"/>
      <c r="K567" s="18"/>
      <c r="L567" s="18"/>
      <c r="M567" s="18"/>
      <c r="N567" s="18"/>
    </row>
    <row r="568" spans="1:14">
      <c r="A568" s="754" t="s">
        <v>898</v>
      </c>
      <c r="B568" s="18"/>
      <c r="C568" s="18"/>
      <c r="D568" s="18"/>
      <c r="E568" s="18"/>
      <c r="F568" s="18">
        <v>863024</v>
      </c>
      <c r="G568" s="18"/>
      <c r="H568" s="18"/>
      <c r="I568" s="18"/>
      <c r="J568" s="18"/>
      <c r="K568" s="18"/>
      <c r="L568" s="18"/>
      <c r="M568" s="18"/>
      <c r="N568" s="18">
        <v>863024</v>
      </c>
    </row>
    <row r="569" spans="1:14">
      <c r="A569" s="754" t="s">
        <v>901</v>
      </c>
      <c r="B569" s="18"/>
      <c r="C569" s="18"/>
      <c r="D569" s="18"/>
      <c r="E569" s="18"/>
      <c r="F569" s="18">
        <v>1596953.37</v>
      </c>
      <c r="G569" s="18"/>
      <c r="H569" s="18"/>
      <c r="I569" s="18"/>
      <c r="J569" s="18"/>
      <c r="K569" s="18"/>
      <c r="L569" s="18"/>
      <c r="M569" s="18"/>
      <c r="N569" s="18">
        <v>1596953.37</v>
      </c>
    </row>
    <row r="570" spans="1:14">
      <c r="A570" s="754" t="s">
        <v>903</v>
      </c>
      <c r="B570" s="18"/>
      <c r="C570" s="18"/>
      <c r="D570" s="18"/>
      <c r="E570" s="18"/>
      <c r="F570" s="18">
        <v>320000</v>
      </c>
      <c r="G570" s="18"/>
      <c r="H570" s="18"/>
      <c r="I570" s="18"/>
      <c r="J570" s="18"/>
      <c r="K570" s="18"/>
      <c r="L570" s="18"/>
      <c r="M570" s="18"/>
      <c r="N570" s="18">
        <v>320000</v>
      </c>
    </row>
    <row r="571" spans="1:14">
      <c r="A571" s="754" t="s">
        <v>905</v>
      </c>
      <c r="B571" s="18"/>
      <c r="C571" s="18"/>
      <c r="D571" s="18"/>
      <c r="E571" s="18"/>
      <c r="F571" s="18">
        <v>5055</v>
      </c>
      <c r="G571" s="18"/>
      <c r="H571" s="18"/>
      <c r="I571" s="18"/>
      <c r="J571" s="18"/>
      <c r="K571" s="18"/>
      <c r="L571" s="18"/>
      <c r="M571" s="18"/>
      <c r="N571" s="18">
        <v>5055</v>
      </c>
    </row>
    <row r="572" spans="1:14">
      <c r="A572" s="754" t="s">
        <v>174</v>
      </c>
      <c r="B572" s="18"/>
      <c r="C572" s="18"/>
      <c r="D572" s="18"/>
      <c r="E572" s="18"/>
      <c r="F572" s="18">
        <v>0</v>
      </c>
      <c r="G572" s="18"/>
      <c r="H572" s="18"/>
      <c r="I572" s="18"/>
      <c r="J572" s="18"/>
      <c r="K572" s="18"/>
      <c r="L572" s="18"/>
      <c r="M572" s="18"/>
      <c r="N572" s="18">
        <v>0</v>
      </c>
    </row>
    <row r="573" spans="1:14">
      <c r="A573" s="489" t="s">
        <v>1810</v>
      </c>
      <c r="B573" s="18"/>
      <c r="C573" s="18"/>
      <c r="D573" s="18"/>
      <c r="E573" s="18"/>
      <c r="F573" s="18">
        <v>863024</v>
      </c>
      <c r="G573" s="18"/>
      <c r="H573" s="18"/>
      <c r="I573" s="18"/>
      <c r="J573" s="18"/>
      <c r="K573" s="18"/>
      <c r="L573" s="18"/>
      <c r="M573" s="18"/>
      <c r="N573" s="18">
        <v>863024</v>
      </c>
    </row>
    <row r="574" spans="1:14">
      <c r="A574" s="489" t="s">
        <v>1600</v>
      </c>
      <c r="B574" s="18"/>
      <c r="C574" s="18"/>
      <c r="D574" s="18"/>
      <c r="E574" s="18"/>
      <c r="F574" s="18">
        <v>1596953.37</v>
      </c>
      <c r="G574" s="18"/>
      <c r="H574" s="18"/>
      <c r="I574" s="18"/>
      <c r="J574" s="18"/>
      <c r="K574" s="18"/>
      <c r="L574" s="18"/>
      <c r="M574" s="18"/>
      <c r="N574" s="18">
        <v>1596953.37</v>
      </c>
    </row>
    <row r="575" spans="1:14">
      <c r="A575" s="489" t="s">
        <v>1390</v>
      </c>
      <c r="B575" s="18"/>
      <c r="C575" s="18"/>
      <c r="D575" s="18"/>
      <c r="E575" s="18"/>
      <c r="F575" s="18">
        <v>320000</v>
      </c>
      <c r="G575" s="18"/>
      <c r="H575" s="18"/>
      <c r="I575" s="18"/>
      <c r="J575" s="18"/>
      <c r="K575" s="18"/>
      <c r="L575" s="18"/>
      <c r="M575" s="18"/>
      <c r="N575" s="18">
        <v>320000</v>
      </c>
    </row>
    <row r="576" spans="1:14">
      <c r="A576" s="489" t="s">
        <v>1180</v>
      </c>
      <c r="B576" s="18"/>
      <c r="C576" s="18"/>
      <c r="D576" s="18"/>
      <c r="E576" s="18"/>
      <c r="F576" s="18">
        <v>5055</v>
      </c>
      <c r="G576" s="18"/>
      <c r="H576" s="18"/>
      <c r="I576" s="18"/>
      <c r="J576" s="18"/>
      <c r="K576" s="18"/>
      <c r="L576" s="18"/>
      <c r="M576" s="18"/>
      <c r="N576" s="18">
        <v>5055</v>
      </c>
    </row>
    <row r="577" spans="1:14">
      <c r="A577" s="489" t="s">
        <v>970</v>
      </c>
      <c r="B577" s="18"/>
      <c r="C577" s="18"/>
      <c r="D577" s="18"/>
      <c r="E577" s="18"/>
      <c r="F577" s="18">
        <v>0</v>
      </c>
      <c r="G577" s="18"/>
      <c r="H577" s="18"/>
      <c r="I577" s="18"/>
      <c r="J577" s="18"/>
      <c r="K577" s="18"/>
      <c r="L577" s="18"/>
      <c r="M577" s="18"/>
      <c r="N577" s="18">
        <v>0</v>
      </c>
    </row>
    <row r="578" spans="1:14">
      <c r="A578" s="347" t="s">
        <v>1811</v>
      </c>
      <c r="B578" s="18"/>
      <c r="C578" s="18"/>
      <c r="D578" s="18"/>
      <c r="E578" s="18"/>
      <c r="F578" s="18">
        <v>863024</v>
      </c>
      <c r="G578" s="18"/>
      <c r="H578" s="18"/>
      <c r="I578" s="18"/>
      <c r="J578" s="18"/>
      <c r="K578" s="18"/>
      <c r="L578" s="18"/>
      <c r="M578" s="18"/>
      <c r="N578" s="18">
        <v>863024</v>
      </c>
    </row>
    <row r="579" spans="1:14">
      <c r="A579" s="347" t="s">
        <v>1601</v>
      </c>
      <c r="B579" s="18"/>
      <c r="C579" s="18"/>
      <c r="D579" s="18"/>
      <c r="E579" s="18"/>
      <c r="F579" s="18">
        <v>1596953.37</v>
      </c>
      <c r="G579" s="18"/>
      <c r="H579" s="18"/>
      <c r="I579" s="18"/>
      <c r="J579" s="18"/>
      <c r="K579" s="18"/>
      <c r="L579" s="18"/>
      <c r="M579" s="18"/>
      <c r="N579" s="18">
        <v>1596953.37</v>
      </c>
    </row>
    <row r="580" spans="1:14">
      <c r="A580" s="347" t="s">
        <v>1391</v>
      </c>
      <c r="B580" s="18"/>
      <c r="C580" s="18"/>
      <c r="D580" s="18"/>
      <c r="E580" s="18"/>
      <c r="F580" s="18">
        <v>320000</v>
      </c>
      <c r="G580" s="18"/>
      <c r="H580" s="18"/>
      <c r="I580" s="18"/>
      <c r="J580" s="18"/>
      <c r="K580" s="18"/>
      <c r="L580" s="18"/>
      <c r="M580" s="18"/>
      <c r="N580" s="18">
        <v>320000</v>
      </c>
    </row>
    <row r="581" spans="1:14">
      <c r="A581" s="347" t="s">
        <v>1181</v>
      </c>
      <c r="B581" s="18"/>
      <c r="C581" s="18"/>
      <c r="D581" s="18"/>
      <c r="E581" s="18"/>
      <c r="F581" s="18">
        <v>5055</v>
      </c>
      <c r="G581" s="18"/>
      <c r="H581" s="18"/>
      <c r="I581" s="18"/>
      <c r="J581" s="18"/>
      <c r="K581" s="18"/>
      <c r="L581" s="18"/>
      <c r="M581" s="18"/>
      <c r="N581" s="18">
        <v>5055</v>
      </c>
    </row>
    <row r="582" spans="1:14">
      <c r="A582" s="347" t="s">
        <v>971</v>
      </c>
      <c r="B582" s="18"/>
      <c r="C582" s="18"/>
      <c r="D582" s="18"/>
      <c r="E582" s="18"/>
      <c r="F582" s="18">
        <v>0</v>
      </c>
      <c r="G582" s="18"/>
      <c r="H582" s="18"/>
      <c r="I582" s="18"/>
      <c r="J582" s="18"/>
      <c r="K582" s="18"/>
      <c r="L582" s="18"/>
      <c r="M582" s="18"/>
      <c r="N582" s="18">
        <v>0</v>
      </c>
    </row>
    <row r="583" spans="1:14">
      <c r="A583" s="19" t="s">
        <v>1812</v>
      </c>
      <c r="B583" s="18"/>
      <c r="C583" s="18"/>
      <c r="D583" s="18"/>
      <c r="E583" s="18"/>
      <c r="F583" s="18">
        <v>863024</v>
      </c>
      <c r="G583" s="18"/>
      <c r="H583" s="18"/>
      <c r="I583" s="18"/>
      <c r="J583" s="18"/>
      <c r="K583" s="18"/>
      <c r="L583" s="18"/>
      <c r="M583" s="18"/>
      <c r="N583" s="18">
        <v>863024</v>
      </c>
    </row>
    <row r="584" spans="1:14">
      <c r="A584" s="19" t="s">
        <v>1602</v>
      </c>
      <c r="B584" s="18"/>
      <c r="C584" s="18"/>
      <c r="D584" s="18"/>
      <c r="E584" s="18"/>
      <c r="F584" s="18">
        <v>1596953.37</v>
      </c>
      <c r="G584" s="18"/>
      <c r="H584" s="18"/>
      <c r="I584" s="18"/>
      <c r="J584" s="18"/>
      <c r="K584" s="18"/>
      <c r="L584" s="18"/>
      <c r="M584" s="18"/>
      <c r="N584" s="18">
        <v>1596953.37</v>
      </c>
    </row>
    <row r="585" spans="1:14">
      <c r="A585" s="19" t="s">
        <v>1392</v>
      </c>
      <c r="B585" s="18"/>
      <c r="C585" s="18"/>
      <c r="D585" s="18"/>
      <c r="E585" s="18"/>
      <c r="F585" s="18">
        <v>320000</v>
      </c>
      <c r="G585" s="18"/>
      <c r="H585" s="18"/>
      <c r="I585" s="18"/>
      <c r="J585" s="18"/>
      <c r="K585" s="18"/>
      <c r="L585" s="18"/>
      <c r="M585" s="18"/>
      <c r="N585" s="18">
        <v>320000</v>
      </c>
    </row>
    <row r="586" spans="1:14">
      <c r="A586" s="19" t="s">
        <v>1182</v>
      </c>
      <c r="B586" s="18"/>
      <c r="C586" s="18"/>
      <c r="D586" s="18"/>
      <c r="E586" s="18"/>
      <c r="F586" s="18">
        <v>5055</v>
      </c>
      <c r="G586" s="18"/>
      <c r="H586" s="18"/>
      <c r="I586" s="18"/>
      <c r="J586" s="18"/>
      <c r="K586" s="18"/>
      <c r="L586" s="18"/>
      <c r="M586" s="18"/>
      <c r="N586" s="18">
        <v>5055</v>
      </c>
    </row>
    <row r="587" spans="1:14">
      <c r="A587" s="19" t="s">
        <v>972</v>
      </c>
      <c r="B587" s="18"/>
      <c r="C587" s="18"/>
      <c r="D587" s="18"/>
      <c r="E587" s="18"/>
      <c r="F587" s="18">
        <v>0</v>
      </c>
      <c r="G587" s="18"/>
      <c r="H587" s="18"/>
      <c r="I587" s="18"/>
      <c r="J587" s="18"/>
      <c r="K587" s="18"/>
      <c r="L587" s="18"/>
      <c r="M587" s="18"/>
      <c r="N587" s="18">
        <v>0</v>
      </c>
    </row>
    <row r="588" spans="1:14">
      <c r="A588" s="4" t="s">
        <v>1813</v>
      </c>
      <c r="B588" s="18"/>
      <c r="C588" s="18"/>
      <c r="D588" s="18"/>
      <c r="E588" s="18"/>
      <c r="F588" s="18">
        <v>863024</v>
      </c>
      <c r="G588" s="18"/>
      <c r="H588" s="18"/>
      <c r="I588" s="18"/>
      <c r="J588" s="18"/>
      <c r="K588" s="18"/>
      <c r="L588" s="18"/>
      <c r="M588" s="18"/>
      <c r="N588" s="18">
        <v>863024</v>
      </c>
    </row>
    <row r="589" spans="1:14">
      <c r="A589" s="4" t="s">
        <v>1603</v>
      </c>
      <c r="B589" s="18"/>
      <c r="C589" s="18"/>
      <c r="D589" s="18"/>
      <c r="E589" s="18"/>
      <c r="F589" s="18">
        <v>1596953.37</v>
      </c>
      <c r="G589" s="18"/>
      <c r="H589" s="18"/>
      <c r="I589" s="18"/>
      <c r="J589" s="18"/>
      <c r="K589" s="18"/>
      <c r="L589" s="18"/>
      <c r="M589" s="18"/>
      <c r="N589" s="18">
        <v>1596953.37</v>
      </c>
    </row>
    <row r="590" spans="1:14">
      <c r="A590" s="4" t="s">
        <v>1393</v>
      </c>
      <c r="B590" s="18"/>
      <c r="C590" s="18"/>
      <c r="D590" s="18"/>
      <c r="E590" s="18"/>
      <c r="F590" s="18">
        <v>320000</v>
      </c>
      <c r="G590" s="18"/>
      <c r="H590" s="18"/>
      <c r="I590" s="18"/>
      <c r="J590" s="18"/>
      <c r="K590" s="18"/>
      <c r="L590" s="18"/>
      <c r="M590" s="18"/>
      <c r="N590" s="18">
        <v>320000</v>
      </c>
    </row>
    <row r="591" spans="1:14">
      <c r="A591" s="4" t="s">
        <v>1183</v>
      </c>
      <c r="B591" s="18"/>
      <c r="C591" s="18"/>
      <c r="D591" s="18"/>
      <c r="E591" s="18"/>
      <c r="F591" s="18">
        <v>5055</v>
      </c>
      <c r="G591" s="18"/>
      <c r="H591" s="18"/>
      <c r="I591" s="18"/>
      <c r="J591" s="18"/>
      <c r="K591" s="18"/>
      <c r="L591" s="18"/>
      <c r="M591" s="18"/>
      <c r="N591" s="18">
        <v>5055</v>
      </c>
    </row>
    <row r="592" spans="1:14">
      <c r="A592" s="4" t="s">
        <v>973</v>
      </c>
      <c r="B592" s="18"/>
      <c r="C592" s="18"/>
      <c r="D592" s="18"/>
      <c r="E592" s="18"/>
      <c r="F592" s="18">
        <v>0</v>
      </c>
      <c r="G592" s="18"/>
      <c r="H592" s="18"/>
      <c r="I592" s="18"/>
      <c r="J592" s="18"/>
      <c r="K592" s="18"/>
      <c r="L592" s="18"/>
      <c r="M592" s="18"/>
      <c r="N592" s="18">
        <v>0</v>
      </c>
    </row>
    <row r="593" spans="1:14">
      <c r="A593" s="4">
        <v>866175.59</v>
      </c>
      <c r="B593" s="18"/>
      <c r="C593" s="18"/>
      <c r="D593" s="18"/>
      <c r="E593" s="18"/>
      <c r="F593" s="18"/>
      <c r="G593" s="18"/>
      <c r="H593" s="18"/>
      <c r="I593" s="18"/>
      <c r="J593" s="18"/>
      <c r="K593" s="18"/>
      <c r="L593" s="18"/>
      <c r="M593" s="18"/>
      <c r="N593" s="18"/>
    </row>
    <row r="594" spans="1:14">
      <c r="A594" s="19">
        <v>360000</v>
      </c>
      <c r="B594" s="18"/>
      <c r="C594" s="18"/>
      <c r="D594" s="18"/>
      <c r="E594" s="18"/>
      <c r="F594" s="18"/>
      <c r="G594" s="18"/>
      <c r="H594" s="18"/>
      <c r="I594" s="18"/>
      <c r="J594" s="18"/>
      <c r="K594" s="18"/>
      <c r="L594" s="18"/>
      <c r="M594" s="18"/>
      <c r="N594" s="18"/>
    </row>
    <row r="595" spans="1:14">
      <c r="A595" s="347">
        <v>1657979</v>
      </c>
      <c r="B595" s="18"/>
      <c r="C595" s="18"/>
      <c r="D595" s="18"/>
      <c r="E595" s="18"/>
      <c r="F595" s="18"/>
      <c r="G595" s="18"/>
      <c r="H595" s="18"/>
      <c r="I595" s="18"/>
      <c r="J595" s="18"/>
      <c r="K595" s="18"/>
      <c r="L595" s="18"/>
      <c r="M595" s="18"/>
      <c r="N595" s="18"/>
    </row>
    <row r="596" spans="1:14">
      <c r="A596" s="489">
        <v>8336</v>
      </c>
      <c r="B596" s="18"/>
      <c r="C596" s="18"/>
      <c r="D596" s="18"/>
      <c r="E596" s="18"/>
      <c r="F596" s="18"/>
      <c r="G596" s="18"/>
      <c r="H596" s="18"/>
      <c r="I596" s="18"/>
      <c r="J596" s="18"/>
      <c r="K596" s="18"/>
      <c r="L596" s="18"/>
      <c r="M596" s="18"/>
      <c r="N596" s="18"/>
    </row>
    <row r="597" spans="1:14">
      <c r="A597" s="753">
        <v>0</v>
      </c>
      <c r="B597" s="18"/>
      <c r="C597" s="18"/>
      <c r="D597" s="18"/>
      <c r="E597" s="18"/>
      <c r="F597" s="18"/>
      <c r="G597" s="18"/>
      <c r="H597" s="18"/>
      <c r="I597" s="18"/>
      <c r="J597" s="18"/>
      <c r="K597" s="18"/>
      <c r="L597" s="18"/>
      <c r="M597" s="18"/>
      <c r="N597" s="18"/>
    </row>
    <row r="598" spans="1:14">
      <c r="A598" s="754" t="s">
        <v>898</v>
      </c>
      <c r="B598" s="18"/>
      <c r="C598" s="18"/>
      <c r="D598" s="18"/>
      <c r="E598" s="18"/>
      <c r="F598" s="18"/>
      <c r="G598" s="18">
        <v>866175.59</v>
      </c>
      <c r="H598" s="18"/>
      <c r="I598" s="18"/>
      <c r="J598" s="18"/>
      <c r="K598" s="18"/>
      <c r="L598" s="18"/>
      <c r="M598" s="18"/>
      <c r="N598" s="18">
        <v>866175.59</v>
      </c>
    </row>
    <row r="599" spans="1:14">
      <c r="A599" s="754" t="s">
        <v>901</v>
      </c>
      <c r="B599" s="18"/>
      <c r="C599" s="18"/>
      <c r="D599" s="18"/>
      <c r="E599" s="18"/>
      <c r="F599" s="18"/>
      <c r="G599" s="18">
        <v>1657979</v>
      </c>
      <c r="H599" s="18"/>
      <c r="I599" s="18"/>
      <c r="J599" s="18"/>
      <c r="K599" s="18"/>
      <c r="L599" s="18"/>
      <c r="M599" s="18"/>
      <c r="N599" s="18">
        <v>1657979</v>
      </c>
    </row>
    <row r="600" spans="1:14">
      <c r="A600" s="754" t="s">
        <v>903</v>
      </c>
      <c r="B600" s="18"/>
      <c r="C600" s="18"/>
      <c r="D600" s="18"/>
      <c r="E600" s="18"/>
      <c r="F600" s="18"/>
      <c r="G600" s="18">
        <v>360000</v>
      </c>
      <c r="H600" s="18"/>
      <c r="I600" s="18"/>
      <c r="J600" s="18"/>
      <c r="K600" s="18"/>
      <c r="L600" s="18"/>
      <c r="M600" s="18"/>
      <c r="N600" s="18">
        <v>360000</v>
      </c>
    </row>
    <row r="601" spans="1:14">
      <c r="A601" s="754" t="s">
        <v>905</v>
      </c>
      <c r="B601" s="18"/>
      <c r="C601" s="18"/>
      <c r="D601" s="18"/>
      <c r="E601" s="18"/>
      <c r="F601" s="18"/>
      <c r="G601" s="18">
        <v>8336</v>
      </c>
      <c r="H601" s="18"/>
      <c r="I601" s="18"/>
      <c r="J601" s="18"/>
      <c r="K601" s="18"/>
      <c r="L601" s="18"/>
      <c r="M601" s="18"/>
      <c r="N601" s="18">
        <v>8336</v>
      </c>
    </row>
    <row r="602" spans="1:14">
      <c r="A602" s="754" t="s">
        <v>174</v>
      </c>
      <c r="B602" s="18"/>
      <c r="C602" s="18"/>
      <c r="D602" s="18"/>
      <c r="E602" s="18"/>
      <c r="F602" s="18"/>
      <c r="G602" s="18">
        <v>0</v>
      </c>
      <c r="H602" s="18"/>
      <c r="I602" s="18"/>
      <c r="J602" s="18"/>
      <c r="K602" s="18"/>
      <c r="L602" s="18"/>
      <c r="M602" s="18"/>
      <c r="N602" s="18">
        <v>0</v>
      </c>
    </row>
    <row r="603" spans="1:14">
      <c r="A603" s="489" t="s">
        <v>1814</v>
      </c>
      <c r="B603" s="18"/>
      <c r="C603" s="18"/>
      <c r="D603" s="18"/>
      <c r="E603" s="18"/>
      <c r="F603" s="18"/>
      <c r="G603" s="18">
        <v>866175.59</v>
      </c>
      <c r="H603" s="18"/>
      <c r="I603" s="18"/>
      <c r="J603" s="18"/>
      <c r="K603" s="18"/>
      <c r="L603" s="18"/>
      <c r="M603" s="18"/>
      <c r="N603" s="18">
        <v>866175.59</v>
      </c>
    </row>
    <row r="604" spans="1:14">
      <c r="A604" s="489" t="s">
        <v>1604</v>
      </c>
      <c r="B604" s="18"/>
      <c r="C604" s="18"/>
      <c r="D604" s="18"/>
      <c r="E604" s="18"/>
      <c r="F604" s="18"/>
      <c r="G604" s="18">
        <v>1657979</v>
      </c>
      <c r="H604" s="18"/>
      <c r="I604" s="18"/>
      <c r="J604" s="18"/>
      <c r="K604" s="18"/>
      <c r="L604" s="18"/>
      <c r="M604" s="18"/>
      <c r="N604" s="18">
        <v>1657979</v>
      </c>
    </row>
    <row r="605" spans="1:14">
      <c r="A605" s="489" t="s">
        <v>1394</v>
      </c>
      <c r="B605" s="18"/>
      <c r="C605" s="18"/>
      <c r="D605" s="18"/>
      <c r="E605" s="18"/>
      <c r="F605" s="18"/>
      <c r="G605" s="18">
        <v>360000</v>
      </c>
      <c r="H605" s="18"/>
      <c r="I605" s="18"/>
      <c r="J605" s="18"/>
      <c r="K605" s="18"/>
      <c r="L605" s="18"/>
      <c r="M605" s="18"/>
      <c r="N605" s="18">
        <v>360000</v>
      </c>
    </row>
    <row r="606" spans="1:14">
      <c r="A606" s="489" t="s">
        <v>1184</v>
      </c>
      <c r="B606" s="18"/>
      <c r="C606" s="18"/>
      <c r="D606" s="18"/>
      <c r="E606" s="18"/>
      <c r="F606" s="18"/>
      <c r="G606" s="18">
        <v>8336</v>
      </c>
      <c r="H606" s="18"/>
      <c r="I606" s="18"/>
      <c r="J606" s="18"/>
      <c r="K606" s="18"/>
      <c r="L606" s="18"/>
      <c r="M606" s="18"/>
      <c r="N606" s="18">
        <v>8336</v>
      </c>
    </row>
    <row r="607" spans="1:14">
      <c r="A607" s="489" t="s">
        <v>974</v>
      </c>
      <c r="B607" s="18"/>
      <c r="C607" s="18"/>
      <c r="D607" s="18"/>
      <c r="E607" s="18"/>
      <c r="F607" s="18"/>
      <c r="G607" s="18">
        <v>0</v>
      </c>
      <c r="H607" s="18"/>
      <c r="I607" s="18"/>
      <c r="J607" s="18"/>
      <c r="K607" s="18"/>
      <c r="L607" s="18"/>
      <c r="M607" s="18"/>
      <c r="N607" s="18">
        <v>0</v>
      </c>
    </row>
    <row r="608" spans="1:14">
      <c r="A608" s="347" t="s">
        <v>1815</v>
      </c>
      <c r="B608" s="18"/>
      <c r="C608" s="18"/>
      <c r="D608" s="18"/>
      <c r="E608" s="18"/>
      <c r="F608" s="18"/>
      <c r="G608" s="18">
        <v>866175.59</v>
      </c>
      <c r="H608" s="18"/>
      <c r="I608" s="18"/>
      <c r="J608" s="18"/>
      <c r="K608" s="18"/>
      <c r="L608" s="18"/>
      <c r="M608" s="18"/>
      <c r="N608" s="18">
        <v>866175.59</v>
      </c>
    </row>
    <row r="609" spans="1:14">
      <c r="A609" s="347" t="s">
        <v>1605</v>
      </c>
      <c r="B609" s="18"/>
      <c r="C609" s="18"/>
      <c r="D609" s="18"/>
      <c r="E609" s="18"/>
      <c r="F609" s="18"/>
      <c r="G609" s="18">
        <v>1657979</v>
      </c>
      <c r="H609" s="18"/>
      <c r="I609" s="18"/>
      <c r="J609" s="18"/>
      <c r="K609" s="18"/>
      <c r="L609" s="18"/>
      <c r="M609" s="18"/>
      <c r="N609" s="18">
        <v>1657979</v>
      </c>
    </row>
    <row r="610" spans="1:14">
      <c r="A610" s="347" t="s">
        <v>1395</v>
      </c>
      <c r="B610" s="18"/>
      <c r="C610" s="18"/>
      <c r="D610" s="18"/>
      <c r="E610" s="18"/>
      <c r="F610" s="18"/>
      <c r="G610" s="18">
        <v>360000</v>
      </c>
      <c r="H610" s="18"/>
      <c r="I610" s="18"/>
      <c r="J610" s="18"/>
      <c r="K610" s="18"/>
      <c r="L610" s="18"/>
      <c r="M610" s="18"/>
      <c r="N610" s="18">
        <v>360000</v>
      </c>
    </row>
    <row r="611" spans="1:14">
      <c r="A611" s="347" t="s">
        <v>1185</v>
      </c>
      <c r="B611" s="18"/>
      <c r="C611" s="18"/>
      <c r="D611" s="18"/>
      <c r="E611" s="18"/>
      <c r="F611" s="18"/>
      <c r="G611" s="18">
        <v>8336</v>
      </c>
      <c r="H611" s="18"/>
      <c r="I611" s="18"/>
      <c r="J611" s="18"/>
      <c r="K611" s="18"/>
      <c r="L611" s="18"/>
      <c r="M611" s="18"/>
      <c r="N611" s="18">
        <v>8336</v>
      </c>
    </row>
    <row r="612" spans="1:14">
      <c r="A612" s="347" t="s">
        <v>975</v>
      </c>
      <c r="B612" s="18"/>
      <c r="C612" s="18"/>
      <c r="D612" s="18"/>
      <c r="E612" s="18"/>
      <c r="F612" s="18"/>
      <c r="G612" s="18">
        <v>0</v>
      </c>
      <c r="H612" s="18"/>
      <c r="I612" s="18"/>
      <c r="J612" s="18"/>
      <c r="K612" s="18"/>
      <c r="L612" s="18"/>
      <c r="M612" s="18"/>
      <c r="N612" s="18">
        <v>0</v>
      </c>
    </row>
    <row r="613" spans="1:14">
      <c r="A613" s="19" t="s">
        <v>1816</v>
      </c>
      <c r="B613" s="18"/>
      <c r="C613" s="18"/>
      <c r="D613" s="18"/>
      <c r="E613" s="18"/>
      <c r="F613" s="18"/>
      <c r="G613" s="18">
        <v>866175.59</v>
      </c>
      <c r="H613" s="18"/>
      <c r="I613" s="18"/>
      <c r="J613" s="18"/>
      <c r="K613" s="18"/>
      <c r="L613" s="18"/>
      <c r="M613" s="18"/>
      <c r="N613" s="18">
        <v>866175.59</v>
      </c>
    </row>
    <row r="614" spans="1:14">
      <c r="A614" s="19" t="s">
        <v>1606</v>
      </c>
      <c r="B614" s="18"/>
      <c r="C614" s="18"/>
      <c r="D614" s="18"/>
      <c r="E614" s="18"/>
      <c r="F614" s="18"/>
      <c r="G614" s="18">
        <v>1657979</v>
      </c>
      <c r="H614" s="18"/>
      <c r="I614" s="18"/>
      <c r="J614" s="18"/>
      <c r="K614" s="18"/>
      <c r="L614" s="18"/>
      <c r="M614" s="18"/>
      <c r="N614" s="18">
        <v>1657979</v>
      </c>
    </row>
    <row r="615" spans="1:14">
      <c r="A615" s="19" t="s">
        <v>1396</v>
      </c>
      <c r="B615" s="18"/>
      <c r="C615" s="18"/>
      <c r="D615" s="18"/>
      <c r="E615" s="18"/>
      <c r="F615" s="18"/>
      <c r="G615" s="18">
        <v>360000</v>
      </c>
      <c r="H615" s="18"/>
      <c r="I615" s="18"/>
      <c r="J615" s="18"/>
      <c r="K615" s="18"/>
      <c r="L615" s="18"/>
      <c r="M615" s="18"/>
      <c r="N615" s="18">
        <v>360000</v>
      </c>
    </row>
    <row r="616" spans="1:14">
      <c r="A616" s="19" t="s">
        <v>1186</v>
      </c>
      <c r="B616" s="18"/>
      <c r="C616" s="18"/>
      <c r="D616" s="18"/>
      <c r="E616" s="18"/>
      <c r="F616" s="18"/>
      <c r="G616" s="18">
        <v>8336</v>
      </c>
      <c r="H616" s="18"/>
      <c r="I616" s="18"/>
      <c r="J616" s="18"/>
      <c r="K616" s="18"/>
      <c r="L616" s="18"/>
      <c r="M616" s="18"/>
      <c r="N616" s="18">
        <v>8336</v>
      </c>
    </row>
    <row r="617" spans="1:14">
      <c r="A617" s="19" t="s">
        <v>976</v>
      </c>
      <c r="B617" s="18"/>
      <c r="C617" s="18"/>
      <c r="D617" s="18"/>
      <c r="E617" s="18"/>
      <c r="F617" s="18"/>
      <c r="G617" s="18">
        <v>0</v>
      </c>
      <c r="H617" s="18"/>
      <c r="I617" s="18"/>
      <c r="J617" s="18"/>
      <c r="K617" s="18"/>
      <c r="L617" s="18"/>
      <c r="M617" s="18"/>
      <c r="N617" s="18">
        <v>0</v>
      </c>
    </row>
    <row r="618" spans="1:14">
      <c r="A618" s="4" t="s">
        <v>1817</v>
      </c>
      <c r="B618" s="18"/>
      <c r="C618" s="18"/>
      <c r="D618" s="18"/>
      <c r="E618" s="18"/>
      <c r="F618" s="18"/>
      <c r="G618" s="18">
        <v>866175.59</v>
      </c>
      <c r="H618" s="18"/>
      <c r="I618" s="18"/>
      <c r="J618" s="18"/>
      <c r="K618" s="18"/>
      <c r="L618" s="18"/>
      <c r="M618" s="18"/>
      <c r="N618" s="18">
        <v>866175.59</v>
      </c>
    </row>
    <row r="619" spans="1:14">
      <c r="A619" s="4" t="s">
        <v>1607</v>
      </c>
      <c r="B619" s="18"/>
      <c r="C619" s="18"/>
      <c r="D619" s="18"/>
      <c r="E619" s="18"/>
      <c r="F619" s="18"/>
      <c r="G619" s="18">
        <v>1657979</v>
      </c>
      <c r="H619" s="18"/>
      <c r="I619" s="18"/>
      <c r="J619" s="18"/>
      <c r="K619" s="18"/>
      <c r="L619" s="18"/>
      <c r="M619" s="18"/>
      <c r="N619" s="18">
        <v>1657979</v>
      </c>
    </row>
    <row r="620" spans="1:14">
      <c r="A620" s="4" t="s">
        <v>1397</v>
      </c>
      <c r="B620" s="18"/>
      <c r="C620" s="18"/>
      <c r="D620" s="18"/>
      <c r="E620" s="18"/>
      <c r="F620" s="18"/>
      <c r="G620" s="18">
        <v>360000</v>
      </c>
      <c r="H620" s="18"/>
      <c r="I620" s="18"/>
      <c r="J620" s="18"/>
      <c r="K620" s="18"/>
      <c r="L620" s="18"/>
      <c r="M620" s="18"/>
      <c r="N620" s="18">
        <v>360000</v>
      </c>
    </row>
    <row r="621" spans="1:14">
      <c r="A621" s="4" t="s">
        <v>1187</v>
      </c>
      <c r="B621" s="18"/>
      <c r="C621" s="18"/>
      <c r="D621" s="18"/>
      <c r="E621" s="18"/>
      <c r="F621" s="18"/>
      <c r="G621" s="18">
        <v>8336</v>
      </c>
      <c r="H621" s="18"/>
      <c r="I621" s="18"/>
      <c r="J621" s="18"/>
      <c r="K621" s="18"/>
      <c r="L621" s="18"/>
      <c r="M621" s="18"/>
      <c r="N621" s="18">
        <v>8336</v>
      </c>
    </row>
    <row r="622" spans="1:14">
      <c r="A622" s="4" t="s">
        <v>977</v>
      </c>
      <c r="B622" s="18"/>
      <c r="C622" s="18"/>
      <c r="D622" s="18"/>
      <c r="E622" s="18"/>
      <c r="F622" s="18"/>
      <c r="G622" s="18">
        <v>0</v>
      </c>
      <c r="H622" s="18"/>
      <c r="I622" s="18"/>
      <c r="J622" s="18"/>
      <c r="K622" s="18"/>
      <c r="L622" s="18"/>
      <c r="M622" s="18"/>
      <c r="N622" s="18">
        <v>0</v>
      </c>
    </row>
    <row r="623" spans="1:14">
      <c r="A623" s="4">
        <v>901691</v>
      </c>
      <c r="B623" s="18"/>
      <c r="C623" s="18"/>
      <c r="D623" s="18"/>
      <c r="E623" s="18"/>
      <c r="F623" s="18"/>
      <c r="G623" s="18"/>
      <c r="H623" s="18"/>
      <c r="I623" s="18"/>
      <c r="J623" s="18"/>
      <c r="K623" s="18"/>
      <c r="L623" s="18"/>
      <c r="M623" s="18"/>
      <c r="N623" s="18"/>
    </row>
    <row r="624" spans="1:14">
      <c r="A624" s="19">
        <v>529000</v>
      </c>
      <c r="B624" s="18"/>
      <c r="C624" s="18"/>
      <c r="D624" s="18"/>
      <c r="E624" s="18"/>
      <c r="F624" s="18"/>
      <c r="G624" s="18"/>
      <c r="H624" s="18"/>
      <c r="I624" s="18"/>
      <c r="J624" s="18"/>
      <c r="K624" s="18"/>
      <c r="L624" s="18"/>
      <c r="M624" s="18"/>
      <c r="N624" s="18"/>
    </row>
    <row r="625" spans="1:14">
      <c r="A625" s="347">
        <v>1772076</v>
      </c>
      <c r="B625" s="18"/>
      <c r="C625" s="18"/>
      <c r="D625" s="18"/>
      <c r="E625" s="18"/>
      <c r="F625" s="18"/>
      <c r="G625" s="18"/>
      <c r="H625" s="18"/>
      <c r="I625" s="18"/>
      <c r="J625" s="18"/>
      <c r="K625" s="18"/>
      <c r="L625" s="18"/>
      <c r="M625" s="18"/>
      <c r="N625" s="18"/>
    </row>
    <row r="626" spans="1:14">
      <c r="A626" s="489" t="s">
        <v>733</v>
      </c>
      <c r="B626" s="18"/>
      <c r="C626" s="18"/>
      <c r="D626" s="18"/>
      <c r="E626" s="18"/>
      <c r="F626" s="18"/>
      <c r="G626" s="18"/>
      <c r="H626" s="18"/>
      <c r="I626" s="18"/>
      <c r="J626" s="18"/>
      <c r="K626" s="18"/>
      <c r="L626" s="18"/>
      <c r="M626" s="18"/>
      <c r="N626" s="18"/>
    </row>
    <row r="627" spans="1:14">
      <c r="A627" s="753" t="s">
        <v>733</v>
      </c>
      <c r="B627" s="18"/>
      <c r="C627" s="18"/>
      <c r="D627" s="18"/>
      <c r="E627" s="18"/>
      <c r="F627" s="18"/>
      <c r="G627" s="18"/>
      <c r="H627" s="18"/>
      <c r="I627" s="18"/>
      <c r="J627" s="18"/>
      <c r="K627" s="18"/>
      <c r="L627" s="18"/>
      <c r="M627" s="18"/>
      <c r="N627" s="18"/>
    </row>
    <row r="628" spans="1:14">
      <c r="A628" s="754" t="s">
        <v>898</v>
      </c>
      <c r="B628" s="18"/>
      <c r="C628" s="18"/>
      <c r="D628" s="18"/>
      <c r="E628" s="18"/>
      <c r="F628" s="18"/>
      <c r="G628" s="18"/>
      <c r="H628" s="18">
        <v>901691</v>
      </c>
      <c r="I628" s="18"/>
      <c r="J628" s="18"/>
      <c r="K628" s="18"/>
      <c r="L628" s="18"/>
      <c r="M628" s="18"/>
      <c r="N628" s="18">
        <v>901691</v>
      </c>
    </row>
    <row r="629" spans="1:14">
      <c r="A629" s="754" t="s">
        <v>901</v>
      </c>
      <c r="B629" s="18"/>
      <c r="C629" s="18"/>
      <c r="D629" s="18"/>
      <c r="E629" s="18"/>
      <c r="F629" s="18"/>
      <c r="G629" s="18"/>
      <c r="H629" s="18">
        <v>1772076</v>
      </c>
      <c r="I629" s="18"/>
      <c r="J629" s="18"/>
      <c r="K629" s="18"/>
      <c r="L629" s="18"/>
      <c r="M629" s="18"/>
      <c r="N629" s="18">
        <v>1772076</v>
      </c>
    </row>
    <row r="630" spans="1:14">
      <c r="A630" s="754" t="s">
        <v>903</v>
      </c>
      <c r="B630" s="18"/>
      <c r="C630" s="18"/>
      <c r="D630" s="18"/>
      <c r="E630" s="18"/>
      <c r="F630" s="18"/>
      <c r="G630" s="18"/>
      <c r="H630" s="18">
        <v>529000</v>
      </c>
      <c r="I630" s="18"/>
      <c r="J630" s="18"/>
      <c r="K630" s="18"/>
      <c r="L630" s="18"/>
      <c r="M630" s="18"/>
      <c r="N630" s="18">
        <v>529000</v>
      </c>
    </row>
    <row r="631" spans="1:14">
      <c r="A631" s="754" t="s">
        <v>905</v>
      </c>
      <c r="B631" s="18"/>
      <c r="C631" s="18"/>
      <c r="D631" s="18"/>
      <c r="E631" s="18"/>
      <c r="F631" s="18"/>
      <c r="G631" s="18"/>
      <c r="H631" s="18"/>
      <c r="I631" s="18"/>
      <c r="J631" s="18"/>
      <c r="K631" s="18"/>
      <c r="L631" s="18"/>
      <c r="M631" s="18"/>
      <c r="N631" s="18"/>
    </row>
    <row r="632" spans="1:14">
      <c r="A632" s="754" t="s">
        <v>174</v>
      </c>
      <c r="B632" s="18"/>
      <c r="C632" s="18"/>
      <c r="D632" s="18"/>
      <c r="E632" s="18"/>
      <c r="F632" s="18"/>
      <c r="G632" s="18"/>
      <c r="H632" s="18"/>
      <c r="I632" s="18"/>
      <c r="J632" s="18"/>
      <c r="K632" s="18"/>
      <c r="L632" s="18"/>
      <c r="M632" s="18"/>
      <c r="N632" s="18"/>
    </row>
    <row r="633" spans="1:14">
      <c r="A633" s="489" t="s">
        <v>1750</v>
      </c>
      <c r="B633" s="18"/>
      <c r="C633" s="18"/>
      <c r="D633" s="18"/>
      <c r="E633" s="18"/>
      <c r="F633" s="18"/>
      <c r="G633" s="18"/>
      <c r="H633" s="18">
        <v>901691</v>
      </c>
      <c r="I633" s="18"/>
      <c r="J633" s="18"/>
      <c r="K633" s="18"/>
      <c r="L633" s="18"/>
      <c r="M633" s="18"/>
      <c r="N633" s="18">
        <v>901691</v>
      </c>
    </row>
    <row r="634" spans="1:14">
      <c r="A634" s="489" t="s">
        <v>1540</v>
      </c>
      <c r="B634" s="18"/>
      <c r="C634" s="18"/>
      <c r="D634" s="18"/>
      <c r="E634" s="18"/>
      <c r="F634" s="18"/>
      <c r="G634" s="18"/>
      <c r="H634" s="18">
        <v>1772076</v>
      </c>
      <c r="I634" s="18"/>
      <c r="J634" s="18"/>
      <c r="K634" s="18"/>
      <c r="L634" s="18"/>
      <c r="M634" s="18"/>
      <c r="N634" s="18">
        <v>1772076</v>
      </c>
    </row>
    <row r="635" spans="1:14">
      <c r="A635" s="489" t="s">
        <v>1330</v>
      </c>
      <c r="B635" s="18"/>
      <c r="C635" s="18"/>
      <c r="D635" s="18"/>
      <c r="E635" s="18"/>
      <c r="F635" s="18"/>
      <c r="G635" s="18"/>
      <c r="H635" s="18">
        <v>529000</v>
      </c>
      <c r="I635" s="18"/>
      <c r="J635" s="18"/>
      <c r="K635" s="18"/>
      <c r="L635" s="18"/>
      <c r="M635" s="18"/>
      <c r="N635" s="18">
        <v>529000</v>
      </c>
    </row>
    <row r="636" spans="1:14">
      <c r="A636" s="489" t="s">
        <v>1120</v>
      </c>
      <c r="B636" s="18"/>
      <c r="C636" s="18"/>
      <c r="D636" s="18"/>
      <c r="E636" s="18"/>
      <c r="F636" s="18"/>
      <c r="G636" s="18"/>
      <c r="H636" s="18"/>
      <c r="I636" s="18"/>
      <c r="J636" s="18"/>
      <c r="K636" s="18"/>
      <c r="L636" s="18"/>
      <c r="M636" s="18"/>
      <c r="N636" s="18"/>
    </row>
    <row r="637" spans="1:14">
      <c r="A637" s="489" t="s">
        <v>910</v>
      </c>
      <c r="B637" s="18"/>
      <c r="C637" s="18"/>
      <c r="D637" s="18"/>
      <c r="E637" s="18"/>
      <c r="F637" s="18"/>
      <c r="G637" s="18"/>
      <c r="H637" s="18"/>
      <c r="I637" s="18"/>
      <c r="J637" s="18"/>
      <c r="K637" s="18"/>
      <c r="L637" s="18"/>
      <c r="M637" s="18"/>
      <c r="N637" s="18"/>
    </row>
    <row r="638" spans="1:14">
      <c r="A638" s="347" t="s">
        <v>1818</v>
      </c>
      <c r="B638" s="18"/>
      <c r="C638" s="18"/>
      <c r="D638" s="18"/>
      <c r="E638" s="18"/>
      <c r="F638" s="18"/>
      <c r="G638" s="18"/>
      <c r="H638" s="18">
        <v>901691</v>
      </c>
      <c r="I638" s="18"/>
      <c r="J638" s="18"/>
      <c r="K638" s="18"/>
      <c r="L638" s="18"/>
      <c r="M638" s="18"/>
      <c r="N638" s="18">
        <v>901691</v>
      </c>
    </row>
    <row r="639" spans="1:14">
      <c r="A639" s="347" t="s">
        <v>1608</v>
      </c>
      <c r="B639" s="18"/>
      <c r="C639" s="18"/>
      <c r="D639" s="18"/>
      <c r="E639" s="18"/>
      <c r="F639" s="18"/>
      <c r="G639" s="18"/>
      <c r="H639" s="18">
        <v>1772076</v>
      </c>
      <c r="I639" s="18"/>
      <c r="J639" s="18"/>
      <c r="K639" s="18"/>
      <c r="L639" s="18"/>
      <c r="M639" s="18"/>
      <c r="N639" s="18">
        <v>1772076</v>
      </c>
    </row>
    <row r="640" spans="1:14">
      <c r="A640" s="347" t="s">
        <v>1398</v>
      </c>
      <c r="B640" s="18"/>
      <c r="C640" s="18"/>
      <c r="D640" s="18"/>
      <c r="E640" s="18"/>
      <c r="F640" s="18"/>
      <c r="G640" s="18"/>
      <c r="H640" s="18">
        <v>529000</v>
      </c>
      <c r="I640" s="18"/>
      <c r="J640" s="18"/>
      <c r="K640" s="18"/>
      <c r="L640" s="18"/>
      <c r="M640" s="18"/>
      <c r="N640" s="18">
        <v>529000</v>
      </c>
    </row>
    <row r="641" spans="1:14">
      <c r="A641" s="347" t="s">
        <v>1188</v>
      </c>
      <c r="B641" s="18"/>
      <c r="C641" s="18"/>
      <c r="D641" s="18"/>
      <c r="E641" s="18"/>
      <c r="F641" s="18"/>
      <c r="G641" s="18"/>
      <c r="H641" s="18"/>
      <c r="I641" s="18"/>
      <c r="J641" s="18"/>
      <c r="K641" s="18"/>
      <c r="L641" s="18"/>
      <c r="M641" s="18"/>
      <c r="N641" s="18"/>
    </row>
    <row r="642" spans="1:14">
      <c r="A642" s="347" t="s">
        <v>978</v>
      </c>
      <c r="B642" s="18"/>
      <c r="C642" s="18"/>
      <c r="D642" s="18"/>
      <c r="E642" s="18"/>
      <c r="F642" s="18"/>
      <c r="G642" s="18"/>
      <c r="H642" s="18"/>
      <c r="I642" s="18"/>
      <c r="J642" s="18"/>
      <c r="K642" s="18"/>
      <c r="L642" s="18"/>
      <c r="M642" s="18"/>
      <c r="N642" s="18"/>
    </row>
    <row r="643" spans="1:14">
      <c r="A643" s="19" t="s">
        <v>1819</v>
      </c>
      <c r="B643" s="18"/>
      <c r="C643" s="18"/>
      <c r="D643" s="18"/>
      <c r="E643" s="18"/>
      <c r="F643" s="18"/>
      <c r="G643" s="18"/>
      <c r="H643" s="18">
        <v>901691</v>
      </c>
      <c r="I643" s="18"/>
      <c r="J643" s="18"/>
      <c r="K643" s="18"/>
      <c r="L643" s="18"/>
      <c r="M643" s="18"/>
      <c r="N643" s="18">
        <v>901691</v>
      </c>
    </row>
    <row r="644" spans="1:14">
      <c r="A644" s="19" t="s">
        <v>1609</v>
      </c>
      <c r="B644" s="18"/>
      <c r="C644" s="18"/>
      <c r="D644" s="18"/>
      <c r="E644" s="18"/>
      <c r="F644" s="18"/>
      <c r="G644" s="18"/>
      <c r="H644" s="18">
        <v>1772076</v>
      </c>
      <c r="I644" s="18"/>
      <c r="J644" s="18"/>
      <c r="K644" s="18"/>
      <c r="L644" s="18"/>
      <c r="M644" s="18"/>
      <c r="N644" s="18">
        <v>1772076</v>
      </c>
    </row>
    <row r="645" spans="1:14">
      <c r="A645" s="19" t="s">
        <v>1399</v>
      </c>
      <c r="B645" s="18"/>
      <c r="C645" s="18"/>
      <c r="D645" s="18"/>
      <c r="E645" s="18"/>
      <c r="F645" s="18"/>
      <c r="G645" s="18"/>
      <c r="H645" s="18">
        <v>529000</v>
      </c>
      <c r="I645" s="18"/>
      <c r="J645" s="18"/>
      <c r="K645" s="18"/>
      <c r="L645" s="18"/>
      <c r="M645" s="18"/>
      <c r="N645" s="18">
        <v>529000</v>
      </c>
    </row>
    <row r="646" spans="1:14">
      <c r="A646" s="19" t="s">
        <v>1189</v>
      </c>
      <c r="B646" s="18"/>
      <c r="C646" s="18"/>
      <c r="D646" s="18"/>
      <c r="E646" s="18"/>
      <c r="F646" s="18"/>
      <c r="G646" s="18"/>
      <c r="H646" s="18"/>
      <c r="I646" s="18"/>
      <c r="J646" s="18"/>
      <c r="K646" s="18"/>
      <c r="L646" s="18"/>
      <c r="M646" s="18"/>
      <c r="N646" s="18"/>
    </row>
    <row r="647" spans="1:14">
      <c r="A647" s="19" t="s">
        <v>979</v>
      </c>
      <c r="B647" s="18"/>
      <c r="C647" s="18"/>
      <c r="D647" s="18"/>
      <c r="E647" s="18"/>
      <c r="F647" s="18"/>
      <c r="G647" s="18"/>
      <c r="H647" s="18"/>
      <c r="I647" s="18"/>
      <c r="J647" s="18"/>
      <c r="K647" s="18"/>
      <c r="L647" s="18"/>
      <c r="M647" s="18"/>
      <c r="N647" s="18"/>
    </row>
    <row r="648" spans="1:14">
      <c r="A648" s="4" t="s">
        <v>1820</v>
      </c>
      <c r="B648" s="18"/>
      <c r="C648" s="18"/>
      <c r="D648" s="18"/>
      <c r="E648" s="18"/>
      <c r="F648" s="18"/>
      <c r="G648" s="18"/>
      <c r="H648" s="18">
        <v>901691</v>
      </c>
      <c r="I648" s="18"/>
      <c r="J648" s="18"/>
      <c r="K648" s="18"/>
      <c r="L648" s="18"/>
      <c r="M648" s="18"/>
      <c r="N648" s="18">
        <v>901691</v>
      </c>
    </row>
    <row r="649" spans="1:14">
      <c r="A649" s="4" t="s">
        <v>1610</v>
      </c>
      <c r="B649" s="18"/>
      <c r="C649" s="18"/>
      <c r="D649" s="18"/>
      <c r="E649" s="18"/>
      <c r="F649" s="18"/>
      <c r="G649" s="18"/>
      <c r="H649" s="18">
        <v>1772076</v>
      </c>
      <c r="I649" s="18"/>
      <c r="J649" s="18"/>
      <c r="K649" s="18"/>
      <c r="L649" s="18"/>
      <c r="M649" s="18"/>
      <c r="N649" s="18">
        <v>1772076</v>
      </c>
    </row>
    <row r="650" spans="1:14">
      <c r="A650" s="4" t="s">
        <v>1400</v>
      </c>
      <c r="B650" s="18"/>
      <c r="C650" s="18"/>
      <c r="D650" s="18"/>
      <c r="E650" s="18"/>
      <c r="F650" s="18"/>
      <c r="G650" s="18"/>
      <c r="H650" s="18">
        <v>529000</v>
      </c>
      <c r="I650" s="18"/>
      <c r="J650" s="18"/>
      <c r="K650" s="18"/>
      <c r="L650" s="18"/>
      <c r="M650" s="18"/>
      <c r="N650" s="18">
        <v>529000</v>
      </c>
    </row>
    <row r="651" spans="1:14">
      <c r="A651" s="4" t="s">
        <v>1190</v>
      </c>
      <c r="B651" s="18"/>
      <c r="C651" s="18"/>
      <c r="D651" s="18"/>
      <c r="E651" s="18"/>
      <c r="F651" s="18"/>
      <c r="G651" s="18"/>
      <c r="H651" s="18"/>
      <c r="I651" s="18"/>
      <c r="J651" s="18"/>
      <c r="K651" s="18"/>
      <c r="L651" s="18"/>
      <c r="M651" s="18"/>
      <c r="N651" s="18"/>
    </row>
    <row r="652" spans="1:14">
      <c r="A652" s="4" t="s">
        <v>980</v>
      </c>
      <c r="B652" s="18"/>
      <c r="C652" s="18"/>
      <c r="D652" s="18"/>
      <c r="E652" s="18"/>
      <c r="F652" s="18"/>
      <c r="G652" s="18"/>
      <c r="H652" s="18"/>
      <c r="I652" s="18"/>
      <c r="J652" s="18"/>
      <c r="K652" s="18"/>
      <c r="L652" s="18"/>
      <c r="M652" s="18"/>
      <c r="N652" s="18"/>
    </row>
    <row r="653" spans="1:14">
      <c r="A653" s="4">
        <v>929819</v>
      </c>
      <c r="B653" s="18"/>
      <c r="C653" s="18"/>
      <c r="D653" s="18"/>
      <c r="E653" s="18"/>
      <c r="F653" s="18"/>
      <c r="G653" s="18"/>
      <c r="H653" s="18"/>
      <c r="I653" s="18"/>
      <c r="J653" s="18"/>
      <c r="K653" s="18"/>
      <c r="L653" s="18"/>
      <c r="M653" s="18"/>
      <c r="N653" s="18"/>
    </row>
    <row r="654" spans="1:14">
      <c r="A654" s="19">
        <v>558000</v>
      </c>
      <c r="B654" s="18"/>
      <c r="C654" s="18"/>
      <c r="D654" s="18"/>
      <c r="E654" s="18"/>
      <c r="F654" s="18"/>
      <c r="G654" s="18"/>
      <c r="H654" s="18"/>
      <c r="I654" s="18"/>
      <c r="J654" s="18"/>
      <c r="K654" s="18"/>
      <c r="L654" s="18"/>
      <c r="M654" s="18"/>
      <c r="N654" s="18"/>
    </row>
    <row r="655" spans="1:14">
      <c r="A655" s="347">
        <v>1895079</v>
      </c>
      <c r="B655" s="18"/>
      <c r="C655" s="18"/>
      <c r="D655" s="18"/>
      <c r="E655" s="18"/>
      <c r="F655" s="18"/>
      <c r="G655" s="18"/>
      <c r="H655" s="18"/>
      <c r="I655" s="18"/>
      <c r="J655" s="18"/>
      <c r="K655" s="18"/>
      <c r="L655" s="18"/>
      <c r="M655" s="18"/>
      <c r="N655" s="18"/>
    </row>
    <row r="656" spans="1:14">
      <c r="A656" s="489">
        <v>0</v>
      </c>
      <c r="B656" s="18"/>
      <c r="C656" s="18"/>
      <c r="D656" s="18"/>
      <c r="E656" s="18"/>
      <c r="F656" s="18"/>
      <c r="G656" s="18"/>
      <c r="H656" s="18"/>
      <c r="I656" s="18"/>
      <c r="J656" s="18"/>
      <c r="K656" s="18"/>
      <c r="L656" s="18"/>
      <c r="M656" s="18"/>
      <c r="N656" s="18"/>
    </row>
    <row r="657" spans="1:14">
      <c r="A657" s="753">
        <v>406263</v>
      </c>
      <c r="B657" s="18"/>
      <c r="C657" s="18"/>
      <c r="D657" s="18"/>
      <c r="E657" s="18"/>
      <c r="F657" s="18"/>
      <c r="G657" s="18"/>
      <c r="H657" s="18"/>
      <c r="I657" s="18"/>
      <c r="J657" s="18"/>
      <c r="K657" s="18"/>
      <c r="L657" s="18"/>
      <c r="M657" s="18"/>
      <c r="N657" s="18"/>
    </row>
    <row r="658" spans="1:14">
      <c r="A658" s="754" t="s">
        <v>898</v>
      </c>
      <c r="B658" s="18"/>
      <c r="C658" s="18"/>
      <c r="D658" s="18">
        <v>929819</v>
      </c>
      <c r="E658" s="18"/>
      <c r="F658" s="18"/>
      <c r="G658" s="18"/>
      <c r="H658" s="18"/>
      <c r="I658" s="18"/>
      <c r="J658" s="18"/>
      <c r="K658" s="18"/>
      <c r="L658" s="18"/>
      <c r="M658" s="18"/>
      <c r="N658" s="18">
        <v>929819</v>
      </c>
    </row>
    <row r="659" spans="1:14">
      <c r="A659" s="754" t="s">
        <v>901</v>
      </c>
      <c r="B659" s="18"/>
      <c r="C659" s="18"/>
      <c r="D659" s="18">
        <v>1895079</v>
      </c>
      <c r="E659" s="18"/>
      <c r="F659" s="18"/>
      <c r="G659" s="18"/>
      <c r="H659" s="18"/>
      <c r="I659" s="18"/>
      <c r="J659" s="18"/>
      <c r="K659" s="18"/>
      <c r="L659" s="18"/>
      <c r="M659" s="18"/>
      <c r="N659" s="18">
        <v>1895079</v>
      </c>
    </row>
    <row r="660" spans="1:14">
      <c r="A660" s="754" t="s">
        <v>903</v>
      </c>
      <c r="B660" s="18"/>
      <c r="C660" s="18"/>
      <c r="D660" s="18">
        <v>558000</v>
      </c>
      <c r="E660" s="18"/>
      <c r="F660" s="18"/>
      <c r="G660" s="18"/>
      <c r="H660" s="18"/>
      <c r="I660" s="18"/>
      <c r="J660" s="18"/>
      <c r="K660" s="18"/>
      <c r="L660" s="18"/>
      <c r="M660" s="18"/>
      <c r="N660" s="18">
        <v>558000</v>
      </c>
    </row>
    <row r="661" spans="1:14">
      <c r="A661" s="754" t="s">
        <v>905</v>
      </c>
      <c r="B661" s="18"/>
      <c r="C661" s="18"/>
      <c r="D661" s="18">
        <v>0</v>
      </c>
      <c r="E661" s="18"/>
      <c r="F661" s="18"/>
      <c r="G661" s="18"/>
      <c r="H661" s="18"/>
      <c r="I661" s="18"/>
      <c r="J661" s="18"/>
      <c r="K661" s="18"/>
      <c r="L661" s="18"/>
      <c r="M661" s="18"/>
      <c r="N661" s="18">
        <v>0</v>
      </c>
    </row>
    <row r="662" spans="1:14">
      <c r="A662" s="754" t="s">
        <v>174</v>
      </c>
      <c r="B662" s="18"/>
      <c r="C662" s="18"/>
      <c r="D662" s="18">
        <v>406263</v>
      </c>
      <c r="E662" s="18"/>
      <c r="F662" s="18"/>
      <c r="G662" s="18"/>
      <c r="H662" s="18"/>
      <c r="I662" s="18"/>
      <c r="J662" s="18"/>
      <c r="K662" s="18"/>
      <c r="L662" s="18"/>
      <c r="M662" s="18"/>
      <c r="N662" s="18">
        <v>406263</v>
      </c>
    </row>
    <row r="663" spans="1:14">
      <c r="A663" s="489" t="s">
        <v>1755</v>
      </c>
      <c r="B663" s="18"/>
      <c r="C663" s="18"/>
      <c r="D663" s="18">
        <v>929819</v>
      </c>
      <c r="E663" s="18"/>
      <c r="F663" s="18"/>
      <c r="G663" s="18"/>
      <c r="H663" s="18"/>
      <c r="I663" s="18"/>
      <c r="J663" s="18"/>
      <c r="K663" s="18"/>
      <c r="L663" s="18"/>
      <c r="M663" s="18"/>
      <c r="N663" s="18">
        <v>929819</v>
      </c>
    </row>
    <row r="664" spans="1:14">
      <c r="A664" s="489" t="s">
        <v>1545</v>
      </c>
      <c r="B664" s="18"/>
      <c r="C664" s="18"/>
      <c r="D664" s="18">
        <v>1895079</v>
      </c>
      <c r="E664" s="18"/>
      <c r="F664" s="18"/>
      <c r="G664" s="18"/>
      <c r="H664" s="18"/>
      <c r="I664" s="18"/>
      <c r="J664" s="18"/>
      <c r="K664" s="18"/>
      <c r="L664" s="18"/>
      <c r="M664" s="18"/>
      <c r="N664" s="18">
        <v>1895079</v>
      </c>
    </row>
    <row r="665" spans="1:14">
      <c r="A665" s="489" t="s">
        <v>1335</v>
      </c>
      <c r="B665" s="18"/>
      <c r="C665" s="18"/>
      <c r="D665" s="18">
        <v>558000</v>
      </c>
      <c r="E665" s="18"/>
      <c r="F665" s="18"/>
      <c r="G665" s="18"/>
      <c r="H665" s="18"/>
      <c r="I665" s="18"/>
      <c r="J665" s="18"/>
      <c r="K665" s="18"/>
      <c r="L665" s="18"/>
      <c r="M665" s="18"/>
      <c r="N665" s="18">
        <v>558000</v>
      </c>
    </row>
    <row r="666" spans="1:14">
      <c r="A666" s="489" t="s">
        <v>1125</v>
      </c>
      <c r="B666" s="18"/>
      <c r="C666" s="18"/>
      <c r="D666" s="18">
        <v>0</v>
      </c>
      <c r="E666" s="18"/>
      <c r="F666" s="18"/>
      <c r="G666" s="18"/>
      <c r="H666" s="18"/>
      <c r="I666" s="18"/>
      <c r="J666" s="18"/>
      <c r="K666" s="18"/>
      <c r="L666" s="18"/>
      <c r="M666" s="18"/>
      <c r="N666" s="18">
        <v>0</v>
      </c>
    </row>
    <row r="667" spans="1:14">
      <c r="A667" s="489" t="s">
        <v>915</v>
      </c>
      <c r="B667" s="18"/>
      <c r="C667" s="18"/>
      <c r="D667" s="18">
        <v>406263</v>
      </c>
      <c r="E667" s="18"/>
      <c r="F667" s="18"/>
      <c r="G667" s="18"/>
      <c r="H667" s="18"/>
      <c r="I667" s="18"/>
      <c r="J667" s="18"/>
      <c r="K667" s="18"/>
      <c r="L667" s="18"/>
      <c r="M667" s="18"/>
      <c r="N667" s="18">
        <v>406263</v>
      </c>
    </row>
    <row r="668" spans="1:14">
      <c r="A668" s="347" t="s">
        <v>1821</v>
      </c>
      <c r="B668" s="18"/>
      <c r="C668" s="18"/>
      <c r="D668" s="18">
        <v>929819</v>
      </c>
      <c r="E668" s="18"/>
      <c r="F668" s="18"/>
      <c r="G668" s="18"/>
      <c r="H668" s="18"/>
      <c r="I668" s="18"/>
      <c r="J668" s="18"/>
      <c r="K668" s="18"/>
      <c r="L668" s="18"/>
      <c r="M668" s="18"/>
      <c r="N668" s="18">
        <v>929819</v>
      </c>
    </row>
    <row r="669" spans="1:14">
      <c r="A669" s="347" t="s">
        <v>1611</v>
      </c>
      <c r="B669" s="18"/>
      <c r="C669" s="18"/>
      <c r="D669" s="18">
        <v>1895079</v>
      </c>
      <c r="E669" s="18"/>
      <c r="F669" s="18"/>
      <c r="G669" s="18"/>
      <c r="H669" s="18"/>
      <c r="I669" s="18"/>
      <c r="J669" s="18"/>
      <c r="K669" s="18"/>
      <c r="L669" s="18"/>
      <c r="M669" s="18"/>
      <c r="N669" s="18">
        <v>1895079</v>
      </c>
    </row>
    <row r="670" spans="1:14">
      <c r="A670" s="347" t="s">
        <v>1401</v>
      </c>
      <c r="B670" s="18"/>
      <c r="C670" s="18"/>
      <c r="D670" s="18">
        <v>558000</v>
      </c>
      <c r="E670" s="18"/>
      <c r="F670" s="18"/>
      <c r="G670" s="18"/>
      <c r="H670" s="18"/>
      <c r="I670" s="18"/>
      <c r="J670" s="18"/>
      <c r="K670" s="18"/>
      <c r="L670" s="18"/>
      <c r="M670" s="18"/>
      <c r="N670" s="18">
        <v>558000</v>
      </c>
    </row>
    <row r="671" spans="1:14">
      <c r="A671" s="347" t="s">
        <v>1191</v>
      </c>
      <c r="B671" s="18"/>
      <c r="C671" s="18"/>
      <c r="D671" s="18">
        <v>0</v>
      </c>
      <c r="E671" s="18"/>
      <c r="F671" s="18"/>
      <c r="G671" s="18"/>
      <c r="H671" s="18"/>
      <c r="I671" s="18"/>
      <c r="J671" s="18"/>
      <c r="K671" s="18"/>
      <c r="L671" s="18"/>
      <c r="M671" s="18"/>
      <c r="N671" s="18">
        <v>0</v>
      </c>
    </row>
    <row r="672" spans="1:14">
      <c r="A672" s="347" t="s">
        <v>981</v>
      </c>
      <c r="B672" s="18"/>
      <c r="C672" s="18"/>
      <c r="D672" s="18">
        <v>406263</v>
      </c>
      <c r="E672" s="18"/>
      <c r="F672" s="18"/>
      <c r="G672" s="18"/>
      <c r="H672" s="18"/>
      <c r="I672" s="18"/>
      <c r="J672" s="18"/>
      <c r="K672" s="18"/>
      <c r="L672" s="18"/>
      <c r="M672" s="18"/>
      <c r="N672" s="18">
        <v>406263</v>
      </c>
    </row>
    <row r="673" spans="1:14">
      <c r="A673" s="19" t="s">
        <v>1822</v>
      </c>
      <c r="B673" s="18"/>
      <c r="C673" s="18"/>
      <c r="D673" s="18">
        <v>929819</v>
      </c>
      <c r="E673" s="18"/>
      <c r="F673" s="18"/>
      <c r="G673" s="18"/>
      <c r="H673" s="18"/>
      <c r="I673" s="18"/>
      <c r="J673" s="18"/>
      <c r="K673" s="18"/>
      <c r="L673" s="18"/>
      <c r="M673" s="18"/>
      <c r="N673" s="18">
        <v>929819</v>
      </c>
    </row>
    <row r="674" spans="1:14">
      <c r="A674" s="19" t="s">
        <v>1612</v>
      </c>
      <c r="B674" s="18"/>
      <c r="C674" s="18"/>
      <c r="D674" s="18">
        <v>1895079</v>
      </c>
      <c r="E674" s="18"/>
      <c r="F674" s="18"/>
      <c r="G674" s="18"/>
      <c r="H674" s="18"/>
      <c r="I674" s="18"/>
      <c r="J674" s="18"/>
      <c r="K674" s="18"/>
      <c r="L674" s="18"/>
      <c r="M674" s="18"/>
      <c r="N674" s="18">
        <v>1895079</v>
      </c>
    </row>
    <row r="675" spans="1:14">
      <c r="A675" s="19" t="s">
        <v>1402</v>
      </c>
      <c r="B675" s="18"/>
      <c r="C675" s="18"/>
      <c r="D675" s="18">
        <v>558000</v>
      </c>
      <c r="E675" s="18"/>
      <c r="F675" s="18"/>
      <c r="G675" s="18"/>
      <c r="H675" s="18"/>
      <c r="I675" s="18"/>
      <c r="J675" s="18"/>
      <c r="K675" s="18"/>
      <c r="L675" s="18"/>
      <c r="M675" s="18"/>
      <c r="N675" s="18">
        <v>558000</v>
      </c>
    </row>
    <row r="676" spans="1:14">
      <c r="A676" s="19" t="s">
        <v>1192</v>
      </c>
      <c r="B676" s="18"/>
      <c r="C676" s="18"/>
      <c r="D676" s="18">
        <v>0</v>
      </c>
      <c r="E676" s="18"/>
      <c r="F676" s="18"/>
      <c r="G676" s="18"/>
      <c r="H676" s="18"/>
      <c r="I676" s="18"/>
      <c r="J676" s="18"/>
      <c r="K676" s="18"/>
      <c r="L676" s="18"/>
      <c r="M676" s="18"/>
      <c r="N676" s="18">
        <v>0</v>
      </c>
    </row>
    <row r="677" spans="1:14">
      <c r="A677" s="19" t="s">
        <v>982</v>
      </c>
      <c r="B677" s="18"/>
      <c r="C677" s="18"/>
      <c r="D677" s="18">
        <v>406263</v>
      </c>
      <c r="E677" s="18"/>
      <c r="F677" s="18"/>
      <c r="G677" s="18"/>
      <c r="H677" s="18"/>
      <c r="I677" s="18"/>
      <c r="J677" s="18"/>
      <c r="K677" s="18"/>
      <c r="L677" s="18"/>
      <c r="M677" s="18"/>
      <c r="N677" s="18">
        <v>406263</v>
      </c>
    </row>
    <row r="678" spans="1:14">
      <c r="A678" s="4" t="s">
        <v>1823</v>
      </c>
      <c r="B678" s="18"/>
      <c r="C678" s="18"/>
      <c r="D678" s="18">
        <v>929819</v>
      </c>
      <c r="E678" s="18"/>
      <c r="F678" s="18"/>
      <c r="G678" s="18"/>
      <c r="H678" s="18"/>
      <c r="I678" s="18"/>
      <c r="J678" s="18"/>
      <c r="K678" s="18"/>
      <c r="L678" s="18"/>
      <c r="M678" s="18"/>
      <c r="N678" s="18">
        <v>929819</v>
      </c>
    </row>
    <row r="679" spans="1:14">
      <c r="A679" s="4" t="s">
        <v>1613</v>
      </c>
      <c r="B679" s="18"/>
      <c r="C679" s="18"/>
      <c r="D679" s="18">
        <v>1895079</v>
      </c>
      <c r="E679" s="18"/>
      <c r="F679" s="18"/>
      <c r="G679" s="18"/>
      <c r="H679" s="18"/>
      <c r="I679" s="18"/>
      <c r="J679" s="18"/>
      <c r="K679" s="18"/>
      <c r="L679" s="18"/>
      <c r="M679" s="18"/>
      <c r="N679" s="18">
        <v>1895079</v>
      </c>
    </row>
    <row r="680" spans="1:14">
      <c r="A680" s="4" t="s">
        <v>1403</v>
      </c>
      <c r="B680" s="18"/>
      <c r="C680" s="18"/>
      <c r="D680" s="18">
        <v>558000</v>
      </c>
      <c r="E680" s="18"/>
      <c r="F680" s="18"/>
      <c r="G680" s="18"/>
      <c r="H680" s="18"/>
      <c r="I680" s="18"/>
      <c r="J680" s="18"/>
      <c r="K680" s="18"/>
      <c r="L680" s="18"/>
      <c r="M680" s="18"/>
      <c r="N680" s="18">
        <v>558000</v>
      </c>
    </row>
    <row r="681" spans="1:14">
      <c r="A681" s="4" t="s">
        <v>1193</v>
      </c>
      <c r="B681" s="18"/>
      <c r="C681" s="18"/>
      <c r="D681" s="18">
        <v>0</v>
      </c>
      <c r="E681" s="18"/>
      <c r="F681" s="18"/>
      <c r="G681" s="18"/>
      <c r="H681" s="18"/>
      <c r="I681" s="18"/>
      <c r="J681" s="18"/>
      <c r="K681" s="18"/>
      <c r="L681" s="18"/>
      <c r="M681" s="18"/>
      <c r="N681" s="18">
        <v>0</v>
      </c>
    </row>
    <row r="682" spans="1:14">
      <c r="A682" s="4" t="s">
        <v>983</v>
      </c>
      <c r="B682" s="18"/>
      <c r="C682" s="18"/>
      <c r="D682" s="18">
        <v>406263</v>
      </c>
      <c r="E682" s="18"/>
      <c r="F682" s="18"/>
      <c r="G682" s="18"/>
      <c r="H682" s="18"/>
      <c r="I682" s="18"/>
      <c r="J682" s="18"/>
      <c r="K682" s="18"/>
      <c r="L682" s="18"/>
      <c r="M682" s="18"/>
      <c r="N682" s="18">
        <v>406263</v>
      </c>
    </row>
    <row r="683" spans="1:14">
      <c r="A683" s="4">
        <v>982780</v>
      </c>
      <c r="B683" s="18"/>
      <c r="C683" s="18"/>
      <c r="D683" s="18"/>
      <c r="E683" s="18"/>
      <c r="F683" s="18"/>
      <c r="G683" s="18"/>
      <c r="H683" s="18"/>
      <c r="I683" s="18"/>
      <c r="J683" s="18"/>
      <c r="K683" s="18"/>
      <c r="L683" s="18"/>
      <c r="M683" s="18"/>
      <c r="N683" s="18"/>
    </row>
    <row r="684" spans="1:14">
      <c r="A684" s="19">
        <v>360000</v>
      </c>
      <c r="B684" s="18"/>
      <c r="C684" s="18"/>
      <c r="D684" s="18"/>
      <c r="E684" s="18"/>
      <c r="F684" s="18"/>
      <c r="G684" s="18"/>
      <c r="H684" s="18"/>
      <c r="I684" s="18"/>
      <c r="J684" s="18"/>
      <c r="K684" s="18"/>
      <c r="L684" s="18"/>
      <c r="M684" s="18"/>
      <c r="N684" s="18"/>
    </row>
    <row r="685" spans="1:14">
      <c r="A685" s="347">
        <v>2024741</v>
      </c>
      <c r="B685" s="18"/>
      <c r="C685" s="18"/>
      <c r="D685" s="18"/>
      <c r="E685" s="18"/>
      <c r="F685" s="18"/>
      <c r="G685" s="18"/>
      <c r="H685" s="18"/>
      <c r="I685" s="18"/>
      <c r="J685" s="18"/>
      <c r="K685" s="18"/>
      <c r="L685" s="18"/>
      <c r="M685" s="18"/>
      <c r="N685" s="18"/>
    </row>
    <row r="686" spans="1:14">
      <c r="A686" s="489">
        <v>46180</v>
      </c>
      <c r="B686" s="18"/>
      <c r="C686" s="18"/>
      <c r="D686" s="18"/>
      <c r="E686" s="18"/>
      <c r="F686" s="18"/>
      <c r="G686" s="18"/>
      <c r="H686" s="18"/>
      <c r="I686" s="18"/>
      <c r="J686" s="18"/>
      <c r="K686" s="18"/>
      <c r="L686" s="18"/>
      <c r="M686" s="18"/>
      <c r="N686" s="18"/>
    </row>
    <row r="687" spans="1:14">
      <c r="A687" s="753">
        <v>0</v>
      </c>
      <c r="B687" s="18"/>
      <c r="C687" s="18"/>
      <c r="D687" s="18"/>
      <c r="E687" s="18"/>
      <c r="F687" s="18"/>
      <c r="G687" s="18"/>
      <c r="H687" s="18"/>
      <c r="I687" s="18"/>
      <c r="J687" s="18"/>
      <c r="K687" s="18"/>
      <c r="L687" s="18"/>
      <c r="M687" s="18"/>
      <c r="N687" s="18"/>
    </row>
    <row r="688" spans="1:14">
      <c r="A688" s="754" t="s">
        <v>898</v>
      </c>
      <c r="B688" s="18"/>
      <c r="C688" s="18"/>
      <c r="D688" s="18"/>
      <c r="E688" s="18"/>
      <c r="F688" s="18"/>
      <c r="G688" s="18">
        <v>982780</v>
      </c>
      <c r="H688" s="18"/>
      <c r="I688" s="18"/>
      <c r="J688" s="18"/>
      <c r="K688" s="18"/>
      <c r="L688" s="18"/>
      <c r="M688" s="18"/>
      <c r="N688" s="18">
        <v>982780</v>
      </c>
    </row>
    <row r="689" spans="1:14">
      <c r="A689" s="754" t="s">
        <v>901</v>
      </c>
      <c r="B689" s="18"/>
      <c r="C689" s="18"/>
      <c r="D689" s="18"/>
      <c r="E689" s="18"/>
      <c r="F689" s="18"/>
      <c r="G689" s="18">
        <v>2024741</v>
      </c>
      <c r="H689" s="18"/>
      <c r="I689" s="18"/>
      <c r="J689" s="18"/>
      <c r="K689" s="18"/>
      <c r="L689" s="18"/>
      <c r="M689" s="18"/>
      <c r="N689" s="18">
        <v>2024741</v>
      </c>
    </row>
    <row r="690" spans="1:14">
      <c r="A690" s="754" t="s">
        <v>903</v>
      </c>
      <c r="B690" s="18"/>
      <c r="C690" s="18"/>
      <c r="D690" s="18"/>
      <c r="E690" s="18"/>
      <c r="F690" s="18"/>
      <c r="G690" s="18">
        <v>360000</v>
      </c>
      <c r="H690" s="18"/>
      <c r="I690" s="18"/>
      <c r="J690" s="18"/>
      <c r="K690" s="18"/>
      <c r="L690" s="18"/>
      <c r="M690" s="18"/>
      <c r="N690" s="18">
        <v>360000</v>
      </c>
    </row>
    <row r="691" spans="1:14">
      <c r="A691" s="754" t="s">
        <v>905</v>
      </c>
      <c r="B691" s="18"/>
      <c r="C691" s="18"/>
      <c r="D691" s="18"/>
      <c r="E691" s="18"/>
      <c r="F691" s="18"/>
      <c r="G691" s="18">
        <v>46180</v>
      </c>
      <c r="H691" s="18"/>
      <c r="I691" s="18"/>
      <c r="J691" s="18"/>
      <c r="K691" s="18"/>
      <c r="L691" s="18"/>
      <c r="M691" s="18"/>
      <c r="N691" s="18">
        <v>46180</v>
      </c>
    </row>
    <row r="692" spans="1:14">
      <c r="A692" s="754" t="s">
        <v>174</v>
      </c>
      <c r="B692" s="18"/>
      <c r="C692" s="18"/>
      <c r="D692" s="18"/>
      <c r="E692" s="18"/>
      <c r="F692" s="18"/>
      <c r="G692" s="18">
        <v>0</v>
      </c>
      <c r="H692" s="18"/>
      <c r="I692" s="18"/>
      <c r="J692" s="18"/>
      <c r="K692" s="18"/>
      <c r="L692" s="18"/>
      <c r="M692" s="18"/>
      <c r="N692" s="18">
        <v>0</v>
      </c>
    </row>
    <row r="693" spans="1:14">
      <c r="A693" s="489" t="s">
        <v>1824</v>
      </c>
      <c r="B693" s="18"/>
      <c r="C693" s="18"/>
      <c r="D693" s="18"/>
      <c r="E693" s="18"/>
      <c r="F693" s="18"/>
      <c r="G693" s="18">
        <v>982780</v>
      </c>
      <c r="H693" s="18"/>
      <c r="I693" s="18"/>
      <c r="J693" s="18"/>
      <c r="K693" s="18"/>
      <c r="L693" s="18"/>
      <c r="M693" s="18"/>
      <c r="N693" s="18">
        <v>982780</v>
      </c>
    </row>
    <row r="694" spans="1:14">
      <c r="A694" s="489" t="s">
        <v>1614</v>
      </c>
      <c r="B694" s="18"/>
      <c r="C694" s="18"/>
      <c r="D694" s="18"/>
      <c r="E694" s="18"/>
      <c r="F694" s="18"/>
      <c r="G694" s="18">
        <v>2024741</v>
      </c>
      <c r="H694" s="18"/>
      <c r="I694" s="18"/>
      <c r="J694" s="18"/>
      <c r="K694" s="18"/>
      <c r="L694" s="18"/>
      <c r="M694" s="18"/>
      <c r="N694" s="18">
        <v>2024741</v>
      </c>
    </row>
    <row r="695" spans="1:14">
      <c r="A695" s="489" t="s">
        <v>1404</v>
      </c>
      <c r="B695" s="18"/>
      <c r="C695" s="18"/>
      <c r="D695" s="18"/>
      <c r="E695" s="18"/>
      <c r="F695" s="18"/>
      <c r="G695" s="18">
        <v>360000</v>
      </c>
      <c r="H695" s="18"/>
      <c r="I695" s="18"/>
      <c r="J695" s="18"/>
      <c r="K695" s="18"/>
      <c r="L695" s="18"/>
      <c r="M695" s="18"/>
      <c r="N695" s="18">
        <v>360000</v>
      </c>
    </row>
    <row r="696" spans="1:14">
      <c r="A696" s="489" t="s">
        <v>1194</v>
      </c>
      <c r="B696" s="18"/>
      <c r="C696" s="18"/>
      <c r="D696" s="18"/>
      <c r="E696" s="18"/>
      <c r="F696" s="18"/>
      <c r="G696" s="18">
        <v>46180</v>
      </c>
      <c r="H696" s="18"/>
      <c r="I696" s="18"/>
      <c r="J696" s="18"/>
      <c r="K696" s="18"/>
      <c r="L696" s="18"/>
      <c r="M696" s="18"/>
      <c r="N696" s="18">
        <v>46180</v>
      </c>
    </row>
    <row r="697" spans="1:14">
      <c r="A697" s="489" t="s">
        <v>984</v>
      </c>
      <c r="B697" s="18"/>
      <c r="C697" s="18"/>
      <c r="D697" s="18"/>
      <c r="E697" s="18"/>
      <c r="F697" s="18"/>
      <c r="G697" s="18">
        <v>0</v>
      </c>
      <c r="H697" s="18"/>
      <c r="I697" s="18"/>
      <c r="J697" s="18"/>
      <c r="K697" s="18"/>
      <c r="L697" s="18"/>
      <c r="M697" s="18"/>
      <c r="N697" s="18">
        <v>0</v>
      </c>
    </row>
    <row r="698" spans="1:14">
      <c r="A698" s="347" t="s">
        <v>1825</v>
      </c>
      <c r="B698" s="18"/>
      <c r="C698" s="18"/>
      <c r="D698" s="18"/>
      <c r="E698" s="18"/>
      <c r="F698" s="18"/>
      <c r="G698" s="18">
        <v>982780</v>
      </c>
      <c r="H698" s="18"/>
      <c r="I698" s="18"/>
      <c r="J698" s="18"/>
      <c r="K698" s="18"/>
      <c r="L698" s="18"/>
      <c r="M698" s="18"/>
      <c r="N698" s="18">
        <v>982780</v>
      </c>
    </row>
    <row r="699" spans="1:14">
      <c r="A699" s="347" t="s">
        <v>1615</v>
      </c>
      <c r="B699" s="18"/>
      <c r="C699" s="18"/>
      <c r="D699" s="18"/>
      <c r="E699" s="18"/>
      <c r="F699" s="18"/>
      <c r="G699" s="18">
        <v>2024741</v>
      </c>
      <c r="H699" s="18"/>
      <c r="I699" s="18"/>
      <c r="J699" s="18"/>
      <c r="K699" s="18"/>
      <c r="L699" s="18"/>
      <c r="M699" s="18"/>
      <c r="N699" s="18">
        <v>2024741</v>
      </c>
    </row>
    <row r="700" spans="1:14">
      <c r="A700" s="347" t="s">
        <v>1405</v>
      </c>
      <c r="B700" s="18"/>
      <c r="C700" s="18"/>
      <c r="D700" s="18"/>
      <c r="E700" s="18"/>
      <c r="F700" s="18"/>
      <c r="G700" s="18">
        <v>360000</v>
      </c>
      <c r="H700" s="18"/>
      <c r="I700" s="18"/>
      <c r="J700" s="18"/>
      <c r="K700" s="18"/>
      <c r="L700" s="18"/>
      <c r="M700" s="18"/>
      <c r="N700" s="18">
        <v>360000</v>
      </c>
    </row>
    <row r="701" spans="1:14">
      <c r="A701" s="347" t="s">
        <v>1195</v>
      </c>
      <c r="B701" s="18"/>
      <c r="C701" s="18"/>
      <c r="D701" s="18"/>
      <c r="E701" s="18"/>
      <c r="F701" s="18"/>
      <c r="G701" s="18">
        <v>46180</v>
      </c>
      <c r="H701" s="18"/>
      <c r="I701" s="18"/>
      <c r="J701" s="18"/>
      <c r="K701" s="18"/>
      <c r="L701" s="18"/>
      <c r="M701" s="18"/>
      <c r="N701" s="18">
        <v>46180</v>
      </c>
    </row>
    <row r="702" spans="1:14">
      <c r="A702" s="347" t="s">
        <v>985</v>
      </c>
      <c r="B702" s="18"/>
      <c r="C702" s="18"/>
      <c r="D702" s="18"/>
      <c r="E702" s="18"/>
      <c r="F702" s="18"/>
      <c r="G702" s="18">
        <v>0</v>
      </c>
      <c r="H702" s="18"/>
      <c r="I702" s="18"/>
      <c r="J702" s="18"/>
      <c r="K702" s="18"/>
      <c r="L702" s="18"/>
      <c r="M702" s="18"/>
      <c r="N702" s="18">
        <v>0</v>
      </c>
    </row>
    <row r="703" spans="1:14">
      <c r="A703" s="19" t="s">
        <v>1816</v>
      </c>
      <c r="B703" s="18"/>
      <c r="C703" s="18"/>
      <c r="D703" s="18"/>
      <c r="E703" s="18"/>
      <c r="F703" s="18"/>
      <c r="G703" s="18">
        <v>982780</v>
      </c>
      <c r="H703" s="18"/>
      <c r="I703" s="18"/>
      <c r="J703" s="18"/>
      <c r="K703" s="18"/>
      <c r="L703" s="18"/>
      <c r="M703" s="18"/>
      <c r="N703" s="18">
        <v>982780</v>
      </c>
    </row>
    <row r="704" spans="1:14">
      <c r="A704" s="19" t="s">
        <v>1606</v>
      </c>
      <c r="B704" s="18"/>
      <c r="C704" s="18"/>
      <c r="D704" s="18"/>
      <c r="E704" s="18"/>
      <c r="F704" s="18"/>
      <c r="G704" s="18">
        <v>2024741</v>
      </c>
      <c r="H704" s="18"/>
      <c r="I704" s="18"/>
      <c r="J704" s="18"/>
      <c r="K704" s="18"/>
      <c r="L704" s="18"/>
      <c r="M704" s="18"/>
      <c r="N704" s="18">
        <v>2024741</v>
      </c>
    </row>
    <row r="705" spans="1:14">
      <c r="A705" s="19" t="s">
        <v>1396</v>
      </c>
      <c r="B705" s="18"/>
      <c r="C705" s="18"/>
      <c r="D705" s="18"/>
      <c r="E705" s="18"/>
      <c r="F705" s="18"/>
      <c r="G705" s="18">
        <v>360000</v>
      </c>
      <c r="H705" s="18"/>
      <c r="I705" s="18"/>
      <c r="J705" s="18"/>
      <c r="K705" s="18"/>
      <c r="L705" s="18"/>
      <c r="M705" s="18"/>
      <c r="N705" s="18">
        <v>360000</v>
      </c>
    </row>
    <row r="706" spans="1:14">
      <c r="A706" s="19" t="s">
        <v>1186</v>
      </c>
      <c r="B706" s="18"/>
      <c r="C706" s="18"/>
      <c r="D706" s="18"/>
      <c r="E706" s="18"/>
      <c r="F706" s="18"/>
      <c r="G706" s="18">
        <v>46180</v>
      </c>
      <c r="H706" s="18"/>
      <c r="I706" s="18"/>
      <c r="J706" s="18"/>
      <c r="K706" s="18"/>
      <c r="L706" s="18"/>
      <c r="M706" s="18"/>
      <c r="N706" s="18">
        <v>46180</v>
      </c>
    </row>
    <row r="707" spans="1:14">
      <c r="A707" s="19" t="s">
        <v>976</v>
      </c>
      <c r="B707" s="18"/>
      <c r="C707" s="18"/>
      <c r="D707" s="18"/>
      <c r="E707" s="18"/>
      <c r="F707" s="18"/>
      <c r="G707" s="18">
        <v>0</v>
      </c>
      <c r="H707" s="18"/>
      <c r="I707" s="18"/>
      <c r="J707" s="18"/>
      <c r="K707" s="18"/>
      <c r="L707" s="18"/>
      <c r="M707" s="18"/>
      <c r="N707" s="18">
        <v>0</v>
      </c>
    </row>
    <row r="708" spans="1:14">
      <c r="A708" s="4" t="s">
        <v>1826</v>
      </c>
      <c r="B708" s="18"/>
      <c r="C708" s="18"/>
      <c r="D708" s="18"/>
      <c r="E708" s="18"/>
      <c r="F708" s="18"/>
      <c r="G708" s="18">
        <v>982780</v>
      </c>
      <c r="H708" s="18"/>
      <c r="I708" s="18"/>
      <c r="J708" s="18"/>
      <c r="K708" s="18"/>
      <c r="L708" s="18"/>
      <c r="M708" s="18"/>
      <c r="N708" s="18">
        <v>982780</v>
      </c>
    </row>
    <row r="709" spans="1:14">
      <c r="A709" s="4" t="s">
        <v>1616</v>
      </c>
      <c r="B709" s="18"/>
      <c r="C709" s="18"/>
      <c r="D709" s="18"/>
      <c r="E709" s="18"/>
      <c r="F709" s="18"/>
      <c r="G709" s="18">
        <v>2024741</v>
      </c>
      <c r="H709" s="18"/>
      <c r="I709" s="18"/>
      <c r="J709" s="18"/>
      <c r="K709" s="18"/>
      <c r="L709" s="18"/>
      <c r="M709" s="18"/>
      <c r="N709" s="18">
        <v>2024741</v>
      </c>
    </row>
    <row r="710" spans="1:14">
      <c r="A710" s="4" t="s">
        <v>1406</v>
      </c>
      <c r="B710" s="18"/>
      <c r="C710" s="18"/>
      <c r="D710" s="18"/>
      <c r="E710" s="18"/>
      <c r="F710" s="18"/>
      <c r="G710" s="18">
        <v>360000</v>
      </c>
      <c r="H710" s="18"/>
      <c r="I710" s="18"/>
      <c r="J710" s="18"/>
      <c r="K710" s="18"/>
      <c r="L710" s="18"/>
      <c r="M710" s="18"/>
      <c r="N710" s="18">
        <v>360000</v>
      </c>
    </row>
    <row r="711" spans="1:14">
      <c r="A711" s="4" t="s">
        <v>1196</v>
      </c>
      <c r="B711" s="18"/>
      <c r="C711" s="18"/>
      <c r="D711" s="18"/>
      <c r="E711" s="18"/>
      <c r="F711" s="18"/>
      <c r="G711" s="18">
        <v>46180</v>
      </c>
      <c r="H711" s="18"/>
      <c r="I711" s="18"/>
      <c r="J711" s="18"/>
      <c r="K711" s="18"/>
      <c r="L711" s="18"/>
      <c r="M711" s="18"/>
      <c r="N711" s="18">
        <v>46180</v>
      </c>
    </row>
    <row r="712" spans="1:14">
      <c r="A712" s="4" t="s">
        <v>986</v>
      </c>
      <c r="B712" s="18"/>
      <c r="C712" s="18"/>
      <c r="D712" s="18"/>
      <c r="E712" s="18"/>
      <c r="F712" s="18"/>
      <c r="G712" s="18">
        <v>0</v>
      </c>
      <c r="H712" s="18"/>
      <c r="I712" s="18"/>
      <c r="J712" s="18"/>
      <c r="K712" s="18"/>
      <c r="L712" s="18"/>
      <c r="M712" s="18"/>
      <c r="N712" s="18">
        <v>0</v>
      </c>
    </row>
    <row r="713" spans="1:14">
      <c r="A713" s="4">
        <v>1042673</v>
      </c>
      <c r="B713" s="18"/>
      <c r="C713" s="18"/>
      <c r="D713" s="18"/>
      <c r="E713" s="18"/>
      <c r="F713" s="18"/>
      <c r="G713" s="18"/>
      <c r="H713" s="18"/>
      <c r="I713" s="18"/>
      <c r="J713" s="18"/>
      <c r="K713" s="18"/>
      <c r="L713" s="18"/>
      <c r="M713" s="18"/>
      <c r="N713" s="18"/>
    </row>
    <row r="714" spans="1:14">
      <c r="A714" s="19">
        <v>360000</v>
      </c>
      <c r="B714" s="18"/>
      <c r="C714" s="18"/>
      <c r="D714" s="18"/>
      <c r="E714" s="18"/>
      <c r="F714" s="18"/>
      <c r="G714" s="18"/>
      <c r="H714" s="18"/>
      <c r="I714" s="18"/>
      <c r="J714" s="18"/>
      <c r="K714" s="18"/>
      <c r="L714" s="18"/>
      <c r="M714" s="18"/>
      <c r="N714" s="18"/>
    </row>
    <row r="715" spans="1:14">
      <c r="A715" s="347">
        <v>2051712</v>
      </c>
      <c r="B715" s="18"/>
      <c r="C715" s="18"/>
      <c r="D715" s="18"/>
      <c r="E715" s="18"/>
      <c r="F715" s="18"/>
      <c r="G715" s="18"/>
      <c r="H715" s="18"/>
      <c r="I715" s="18"/>
      <c r="J715" s="18"/>
      <c r="K715" s="18"/>
      <c r="L715" s="18"/>
      <c r="M715" s="18"/>
      <c r="N715" s="18"/>
    </row>
    <row r="716" spans="1:14">
      <c r="A716" s="489">
        <v>0</v>
      </c>
      <c r="B716" s="18"/>
      <c r="C716" s="18"/>
      <c r="D716" s="18"/>
      <c r="E716" s="18"/>
      <c r="F716" s="18"/>
      <c r="G716" s="18"/>
      <c r="H716" s="18"/>
      <c r="I716" s="18"/>
      <c r="J716" s="18"/>
      <c r="K716" s="18"/>
      <c r="L716" s="18"/>
      <c r="M716" s="18"/>
      <c r="N716" s="18"/>
    </row>
    <row r="717" spans="1:14">
      <c r="A717" s="753">
        <v>327805</v>
      </c>
      <c r="B717" s="18"/>
      <c r="C717" s="18"/>
      <c r="D717" s="18"/>
      <c r="E717" s="18"/>
      <c r="F717" s="18"/>
      <c r="G717" s="18"/>
      <c r="H717" s="18"/>
      <c r="I717" s="18"/>
      <c r="J717" s="18"/>
      <c r="K717" s="18"/>
      <c r="L717" s="18"/>
      <c r="M717" s="18"/>
      <c r="N717" s="18"/>
    </row>
    <row r="718" spans="1:14">
      <c r="A718" s="754" t="s">
        <v>898</v>
      </c>
      <c r="B718" s="18"/>
      <c r="C718" s="18"/>
      <c r="D718" s="18"/>
      <c r="E718" s="18">
        <v>1042673</v>
      </c>
      <c r="F718" s="18"/>
      <c r="G718" s="18"/>
      <c r="H718" s="18"/>
      <c r="I718" s="18"/>
      <c r="J718" s="18"/>
      <c r="K718" s="18"/>
      <c r="L718" s="18"/>
      <c r="M718" s="18"/>
      <c r="N718" s="18">
        <v>1042673</v>
      </c>
    </row>
    <row r="719" spans="1:14">
      <c r="A719" s="754" t="s">
        <v>901</v>
      </c>
      <c r="B719" s="18"/>
      <c r="C719" s="18"/>
      <c r="D719" s="18"/>
      <c r="E719" s="18">
        <v>2051712</v>
      </c>
      <c r="F719" s="18"/>
      <c r="G719" s="18"/>
      <c r="H719" s="18"/>
      <c r="I719" s="18"/>
      <c r="J719" s="18"/>
      <c r="K719" s="18"/>
      <c r="L719" s="18"/>
      <c r="M719" s="18"/>
      <c r="N719" s="18">
        <v>2051712</v>
      </c>
    </row>
    <row r="720" spans="1:14">
      <c r="A720" s="754" t="s">
        <v>903</v>
      </c>
      <c r="B720" s="18"/>
      <c r="C720" s="18"/>
      <c r="D720" s="18"/>
      <c r="E720" s="18">
        <v>360000</v>
      </c>
      <c r="F720" s="18"/>
      <c r="G720" s="18"/>
      <c r="H720" s="18"/>
      <c r="I720" s="18"/>
      <c r="J720" s="18"/>
      <c r="K720" s="18"/>
      <c r="L720" s="18"/>
      <c r="M720" s="18"/>
      <c r="N720" s="18">
        <v>360000</v>
      </c>
    </row>
    <row r="721" spans="1:14">
      <c r="A721" s="754" t="s">
        <v>905</v>
      </c>
      <c r="B721" s="18"/>
      <c r="C721" s="18"/>
      <c r="D721" s="18"/>
      <c r="E721" s="18">
        <v>0</v>
      </c>
      <c r="F721" s="18"/>
      <c r="G721" s="18"/>
      <c r="H721" s="18"/>
      <c r="I721" s="18"/>
      <c r="J721" s="18"/>
      <c r="K721" s="18"/>
      <c r="L721" s="18"/>
      <c r="M721" s="18"/>
      <c r="N721" s="18">
        <v>0</v>
      </c>
    </row>
    <row r="722" spans="1:14">
      <c r="A722" s="754" t="s">
        <v>174</v>
      </c>
      <c r="B722" s="18"/>
      <c r="C722" s="18"/>
      <c r="D722" s="18"/>
      <c r="E722" s="18">
        <v>327805</v>
      </c>
      <c r="F722" s="18"/>
      <c r="G722" s="18"/>
      <c r="H722" s="18"/>
      <c r="I722" s="18"/>
      <c r="J722" s="18"/>
      <c r="K722" s="18"/>
      <c r="L722" s="18"/>
      <c r="M722" s="18"/>
      <c r="N722" s="18">
        <v>327805</v>
      </c>
    </row>
    <row r="723" spans="1:14">
      <c r="A723" s="489" t="s">
        <v>1755</v>
      </c>
      <c r="B723" s="18"/>
      <c r="C723" s="18"/>
      <c r="D723" s="18"/>
      <c r="E723" s="18">
        <v>1042673</v>
      </c>
      <c r="F723" s="18"/>
      <c r="G723" s="18"/>
      <c r="H723" s="18"/>
      <c r="I723" s="18"/>
      <c r="J723" s="18"/>
      <c r="K723" s="18"/>
      <c r="L723" s="18"/>
      <c r="M723" s="18"/>
      <c r="N723" s="18">
        <v>1042673</v>
      </c>
    </row>
    <row r="724" spans="1:14">
      <c r="A724" s="489" t="s">
        <v>1545</v>
      </c>
      <c r="B724" s="18"/>
      <c r="C724" s="18"/>
      <c r="D724" s="18"/>
      <c r="E724" s="18">
        <v>2051712</v>
      </c>
      <c r="F724" s="18"/>
      <c r="G724" s="18"/>
      <c r="H724" s="18"/>
      <c r="I724" s="18"/>
      <c r="J724" s="18"/>
      <c r="K724" s="18"/>
      <c r="L724" s="18"/>
      <c r="M724" s="18"/>
      <c r="N724" s="18">
        <v>2051712</v>
      </c>
    </row>
    <row r="725" spans="1:14">
      <c r="A725" s="489" t="s">
        <v>1335</v>
      </c>
      <c r="B725" s="18"/>
      <c r="C725" s="18"/>
      <c r="D725" s="18"/>
      <c r="E725" s="18">
        <v>360000</v>
      </c>
      <c r="F725" s="18"/>
      <c r="G725" s="18"/>
      <c r="H725" s="18"/>
      <c r="I725" s="18"/>
      <c r="J725" s="18"/>
      <c r="K725" s="18"/>
      <c r="L725" s="18"/>
      <c r="M725" s="18"/>
      <c r="N725" s="18">
        <v>360000</v>
      </c>
    </row>
    <row r="726" spans="1:14">
      <c r="A726" s="489" t="s">
        <v>1125</v>
      </c>
      <c r="B726" s="18"/>
      <c r="C726" s="18"/>
      <c r="D726" s="18"/>
      <c r="E726" s="18">
        <v>0</v>
      </c>
      <c r="F726" s="18"/>
      <c r="G726" s="18"/>
      <c r="H726" s="18"/>
      <c r="I726" s="18"/>
      <c r="J726" s="18"/>
      <c r="K726" s="18"/>
      <c r="L726" s="18"/>
      <c r="M726" s="18"/>
      <c r="N726" s="18">
        <v>0</v>
      </c>
    </row>
    <row r="727" spans="1:14">
      <c r="A727" s="489" t="s">
        <v>915</v>
      </c>
      <c r="B727" s="18"/>
      <c r="C727" s="18"/>
      <c r="D727" s="18"/>
      <c r="E727" s="18">
        <v>327805</v>
      </c>
      <c r="F727" s="18"/>
      <c r="G727" s="18"/>
      <c r="H727" s="18"/>
      <c r="I727" s="18"/>
      <c r="J727" s="18"/>
      <c r="K727" s="18"/>
      <c r="L727" s="18"/>
      <c r="M727" s="18"/>
      <c r="N727" s="18">
        <v>327805</v>
      </c>
    </row>
    <row r="728" spans="1:14">
      <c r="A728" s="347" t="s">
        <v>1827</v>
      </c>
      <c r="B728" s="18"/>
      <c r="C728" s="18"/>
      <c r="D728" s="18"/>
      <c r="E728" s="18">
        <v>1042673</v>
      </c>
      <c r="F728" s="18"/>
      <c r="G728" s="18"/>
      <c r="H728" s="18"/>
      <c r="I728" s="18"/>
      <c r="J728" s="18"/>
      <c r="K728" s="18"/>
      <c r="L728" s="18"/>
      <c r="M728" s="18"/>
      <c r="N728" s="18">
        <v>1042673</v>
      </c>
    </row>
    <row r="729" spans="1:14">
      <c r="A729" s="347" t="s">
        <v>1617</v>
      </c>
      <c r="B729" s="18"/>
      <c r="C729" s="18"/>
      <c r="D729" s="18"/>
      <c r="E729" s="18">
        <v>2051712</v>
      </c>
      <c r="F729" s="18"/>
      <c r="G729" s="18"/>
      <c r="H729" s="18"/>
      <c r="I729" s="18"/>
      <c r="J729" s="18"/>
      <c r="K729" s="18"/>
      <c r="L729" s="18"/>
      <c r="M729" s="18"/>
      <c r="N729" s="18">
        <v>2051712</v>
      </c>
    </row>
    <row r="730" spans="1:14">
      <c r="A730" s="347" t="s">
        <v>1407</v>
      </c>
      <c r="B730" s="18"/>
      <c r="C730" s="18"/>
      <c r="D730" s="18"/>
      <c r="E730" s="18">
        <v>360000</v>
      </c>
      <c r="F730" s="18"/>
      <c r="G730" s="18"/>
      <c r="H730" s="18"/>
      <c r="I730" s="18"/>
      <c r="J730" s="18"/>
      <c r="K730" s="18"/>
      <c r="L730" s="18"/>
      <c r="M730" s="18"/>
      <c r="N730" s="18">
        <v>360000</v>
      </c>
    </row>
    <row r="731" spans="1:14">
      <c r="A731" s="347" t="s">
        <v>1197</v>
      </c>
      <c r="B731" s="18"/>
      <c r="C731" s="18"/>
      <c r="D731" s="18"/>
      <c r="E731" s="18">
        <v>0</v>
      </c>
      <c r="F731" s="18"/>
      <c r="G731" s="18"/>
      <c r="H731" s="18"/>
      <c r="I731" s="18"/>
      <c r="J731" s="18"/>
      <c r="K731" s="18"/>
      <c r="L731" s="18"/>
      <c r="M731" s="18"/>
      <c r="N731" s="18">
        <v>0</v>
      </c>
    </row>
    <row r="732" spans="1:14">
      <c r="A732" s="347" t="s">
        <v>987</v>
      </c>
      <c r="B732" s="18"/>
      <c r="C732" s="18"/>
      <c r="D732" s="18"/>
      <c r="E732" s="18">
        <v>327805</v>
      </c>
      <c r="F732" s="18"/>
      <c r="G732" s="18"/>
      <c r="H732" s="18"/>
      <c r="I732" s="18"/>
      <c r="J732" s="18"/>
      <c r="K732" s="18"/>
      <c r="L732" s="18"/>
      <c r="M732" s="18"/>
      <c r="N732" s="18">
        <v>327805</v>
      </c>
    </row>
    <row r="733" spans="1:14">
      <c r="A733" s="19" t="s">
        <v>1816</v>
      </c>
      <c r="B733" s="18"/>
      <c r="C733" s="18"/>
      <c r="D733" s="18"/>
      <c r="E733" s="18">
        <v>1042673</v>
      </c>
      <c r="F733" s="18"/>
      <c r="G733" s="18"/>
      <c r="H733" s="18"/>
      <c r="I733" s="18"/>
      <c r="J733" s="18"/>
      <c r="K733" s="18"/>
      <c r="L733" s="18"/>
      <c r="M733" s="18"/>
      <c r="N733" s="18">
        <v>1042673</v>
      </c>
    </row>
    <row r="734" spans="1:14">
      <c r="A734" s="19" t="s">
        <v>1606</v>
      </c>
      <c r="B734" s="18"/>
      <c r="C734" s="18"/>
      <c r="D734" s="18"/>
      <c r="E734" s="18">
        <v>2051712</v>
      </c>
      <c r="F734" s="18"/>
      <c r="G734" s="18"/>
      <c r="H734" s="18"/>
      <c r="I734" s="18"/>
      <c r="J734" s="18"/>
      <c r="K734" s="18"/>
      <c r="L734" s="18"/>
      <c r="M734" s="18"/>
      <c r="N734" s="18">
        <v>2051712</v>
      </c>
    </row>
    <row r="735" spans="1:14">
      <c r="A735" s="19" t="s">
        <v>1396</v>
      </c>
      <c r="B735" s="18"/>
      <c r="C735" s="18"/>
      <c r="D735" s="18"/>
      <c r="E735" s="18">
        <v>360000</v>
      </c>
      <c r="F735" s="18"/>
      <c r="G735" s="18"/>
      <c r="H735" s="18"/>
      <c r="I735" s="18"/>
      <c r="J735" s="18"/>
      <c r="K735" s="18"/>
      <c r="L735" s="18"/>
      <c r="M735" s="18"/>
      <c r="N735" s="18">
        <v>360000</v>
      </c>
    </row>
    <row r="736" spans="1:14">
      <c r="A736" s="19" t="s">
        <v>1186</v>
      </c>
      <c r="B736" s="18"/>
      <c r="C736" s="18"/>
      <c r="D736" s="18"/>
      <c r="E736" s="18">
        <v>0</v>
      </c>
      <c r="F736" s="18"/>
      <c r="G736" s="18"/>
      <c r="H736" s="18"/>
      <c r="I736" s="18"/>
      <c r="J736" s="18"/>
      <c r="K736" s="18"/>
      <c r="L736" s="18"/>
      <c r="M736" s="18"/>
      <c r="N736" s="18">
        <v>0</v>
      </c>
    </row>
    <row r="737" spans="1:14">
      <c r="A737" s="19" t="s">
        <v>976</v>
      </c>
      <c r="B737" s="18"/>
      <c r="C737" s="18"/>
      <c r="D737" s="18"/>
      <c r="E737" s="18">
        <v>327805</v>
      </c>
      <c r="F737" s="18"/>
      <c r="G737" s="18"/>
      <c r="H737" s="18"/>
      <c r="I737" s="18"/>
      <c r="J737" s="18"/>
      <c r="K737" s="18"/>
      <c r="L737" s="18"/>
      <c r="M737" s="18"/>
      <c r="N737" s="18">
        <v>327805</v>
      </c>
    </row>
    <row r="738" spans="1:14">
      <c r="A738" s="4" t="s">
        <v>1828</v>
      </c>
      <c r="B738" s="18"/>
      <c r="C738" s="18"/>
      <c r="D738" s="18"/>
      <c r="E738" s="18">
        <v>1042673</v>
      </c>
      <c r="F738" s="18"/>
      <c r="G738" s="18"/>
      <c r="H738" s="18"/>
      <c r="I738" s="18"/>
      <c r="J738" s="18"/>
      <c r="K738" s="18"/>
      <c r="L738" s="18"/>
      <c r="M738" s="18"/>
      <c r="N738" s="18">
        <v>1042673</v>
      </c>
    </row>
    <row r="739" spans="1:14">
      <c r="A739" s="4" t="s">
        <v>1618</v>
      </c>
      <c r="B739" s="18"/>
      <c r="C739" s="18"/>
      <c r="D739" s="18"/>
      <c r="E739" s="18">
        <v>2051712</v>
      </c>
      <c r="F739" s="18"/>
      <c r="G739" s="18"/>
      <c r="H739" s="18"/>
      <c r="I739" s="18"/>
      <c r="J739" s="18"/>
      <c r="K739" s="18"/>
      <c r="L739" s="18"/>
      <c r="M739" s="18"/>
      <c r="N739" s="18">
        <v>2051712</v>
      </c>
    </row>
    <row r="740" spans="1:14">
      <c r="A740" s="4" t="s">
        <v>1408</v>
      </c>
      <c r="B740" s="18"/>
      <c r="C740" s="18"/>
      <c r="D740" s="18"/>
      <c r="E740" s="18">
        <v>360000</v>
      </c>
      <c r="F740" s="18"/>
      <c r="G740" s="18"/>
      <c r="H740" s="18"/>
      <c r="I740" s="18"/>
      <c r="J740" s="18"/>
      <c r="K740" s="18"/>
      <c r="L740" s="18"/>
      <c r="M740" s="18"/>
      <c r="N740" s="18">
        <v>360000</v>
      </c>
    </row>
    <row r="741" spans="1:14">
      <c r="A741" s="4" t="s">
        <v>1198</v>
      </c>
      <c r="B741" s="18"/>
      <c r="C741" s="18"/>
      <c r="D741" s="18"/>
      <c r="E741" s="18">
        <v>0</v>
      </c>
      <c r="F741" s="18"/>
      <c r="G741" s="18"/>
      <c r="H741" s="18"/>
      <c r="I741" s="18"/>
      <c r="J741" s="18"/>
      <c r="K741" s="18"/>
      <c r="L741" s="18"/>
      <c r="M741" s="18"/>
      <c r="N741" s="18">
        <v>0</v>
      </c>
    </row>
    <row r="742" spans="1:14">
      <c r="A742" s="4" t="s">
        <v>988</v>
      </c>
      <c r="B742" s="18"/>
      <c r="C742" s="18"/>
      <c r="D742" s="18"/>
      <c r="E742" s="18">
        <v>327805</v>
      </c>
      <c r="F742" s="18"/>
      <c r="G742" s="18"/>
      <c r="H742" s="18"/>
      <c r="I742" s="18"/>
      <c r="J742" s="18"/>
      <c r="K742" s="18"/>
      <c r="L742" s="18"/>
      <c r="M742" s="18"/>
      <c r="N742" s="18">
        <v>327805</v>
      </c>
    </row>
    <row r="743" spans="1:14">
      <c r="A743" s="4">
        <v>1090090</v>
      </c>
      <c r="B743" s="18"/>
      <c r="C743" s="18"/>
      <c r="D743" s="18"/>
      <c r="E743" s="18"/>
      <c r="F743" s="18"/>
      <c r="G743" s="18"/>
      <c r="H743" s="18"/>
      <c r="I743" s="18"/>
      <c r="J743" s="18"/>
      <c r="K743" s="18"/>
      <c r="L743" s="18"/>
      <c r="M743" s="18"/>
      <c r="N743" s="18"/>
    </row>
    <row r="744" spans="1:14">
      <c r="A744" s="19">
        <v>355000</v>
      </c>
      <c r="B744" s="18"/>
      <c r="C744" s="18"/>
      <c r="D744" s="18"/>
      <c r="E744" s="18"/>
      <c r="F744" s="18"/>
      <c r="G744" s="18"/>
      <c r="H744" s="18"/>
      <c r="I744" s="18"/>
      <c r="J744" s="18"/>
      <c r="K744" s="18"/>
      <c r="L744" s="18"/>
      <c r="M744" s="18"/>
      <c r="N744" s="18"/>
    </row>
    <row r="745" spans="1:14">
      <c r="A745" s="347">
        <v>2287466</v>
      </c>
      <c r="B745" s="18"/>
      <c r="C745" s="18"/>
      <c r="D745" s="18"/>
      <c r="E745" s="18"/>
      <c r="F745" s="18"/>
      <c r="G745" s="18"/>
      <c r="H745" s="18"/>
      <c r="I745" s="18"/>
      <c r="J745" s="18"/>
      <c r="K745" s="18"/>
      <c r="L745" s="18"/>
      <c r="M745" s="18"/>
      <c r="N745" s="18"/>
    </row>
    <row r="746" spans="1:14">
      <c r="A746" s="489">
        <v>0</v>
      </c>
      <c r="B746" s="18"/>
      <c r="C746" s="18"/>
      <c r="D746" s="18"/>
      <c r="E746" s="18"/>
      <c r="F746" s="18"/>
      <c r="G746" s="18"/>
      <c r="H746" s="18"/>
      <c r="I746" s="18"/>
      <c r="J746" s="18"/>
      <c r="K746" s="18"/>
      <c r="L746" s="18"/>
      <c r="M746" s="18"/>
      <c r="N746" s="18"/>
    </row>
    <row r="747" spans="1:14">
      <c r="A747" s="753">
        <v>0</v>
      </c>
      <c r="B747" s="18"/>
      <c r="C747" s="18"/>
      <c r="D747" s="18"/>
      <c r="E747" s="18"/>
      <c r="F747" s="18"/>
      <c r="G747" s="18"/>
      <c r="H747" s="18"/>
      <c r="I747" s="18"/>
      <c r="J747" s="18"/>
      <c r="K747" s="18"/>
      <c r="L747" s="18"/>
      <c r="M747" s="18"/>
      <c r="N747" s="18"/>
    </row>
    <row r="748" spans="1:14">
      <c r="A748" s="754" t="s">
        <v>898</v>
      </c>
      <c r="B748" s="18"/>
      <c r="C748" s="18">
        <v>1090090</v>
      </c>
      <c r="D748" s="18"/>
      <c r="E748" s="18"/>
      <c r="F748" s="18"/>
      <c r="G748" s="18"/>
      <c r="H748" s="18"/>
      <c r="I748" s="18"/>
      <c r="J748" s="18"/>
      <c r="K748" s="18"/>
      <c r="L748" s="18"/>
      <c r="M748" s="18"/>
      <c r="N748" s="18">
        <v>1090090</v>
      </c>
    </row>
    <row r="749" spans="1:14">
      <c r="A749" s="754" t="s">
        <v>901</v>
      </c>
      <c r="B749" s="18"/>
      <c r="C749" s="18">
        <v>2287466</v>
      </c>
      <c r="D749" s="18"/>
      <c r="E749" s="18"/>
      <c r="F749" s="18"/>
      <c r="G749" s="18"/>
      <c r="H749" s="18"/>
      <c r="I749" s="18"/>
      <c r="J749" s="18"/>
      <c r="K749" s="18"/>
      <c r="L749" s="18"/>
      <c r="M749" s="18"/>
      <c r="N749" s="18">
        <v>2287466</v>
      </c>
    </row>
    <row r="750" spans="1:14">
      <c r="A750" s="754" t="s">
        <v>903</v>
      </c>
      <c r="B750" s="18"/>
      <c r="C750" s="18">
        <v>355000</v>
      </c>
      <c r="D750" s="18"/>
      <c r="E750" s="18"/>
      <c r="F750" s="18"/>
      <c r="G750" s="18"/>
      <c r="H750" s="18"/>
      <c r="I750" s="18"/>
      <c r="J750" s="18"/>
      <c r="K750" s="18"/>
      <c r="L750" s="18"/>
      <c r="M750" s="18"/>
      <c r="N750" s="18">
        <v>355000</v>
      </c>
    </row>
    <row r="751" spans="1:14">
      <c r="A751" s="754" t="s">
        <v>905</v>
      </c>
      <c r="B751" s="18"/>
      <c r="C751" s="18">
        <v>0</v>
      </c>
      <c r="D751" s="18"/>
      <c r="E751" s="18"/>
      <c r="F751" s="18"/>
      <c r="G751" s="18"/>
      <c r="H751" s="18"/>
      <c r="I751" s="18"/>
      <c r="J751" s="18"/>
      <c r="K751" s="18"/>
      <c r="L751" s="18"/>
      <c r="M751" s="18"/>
      <c r="N751" s="18">
        <v>0</v>
      </c>
    </row>
    <row r="752" spans="1:14">
      <c r="A752" s="754" t="s">
        <v>174</v>
      </c>
      <c r="B752" s="18"/>
      <c r="C752" s="18">
        <v>0</v>
      </c>
      <c r="D752" s="18"/>
      <c r="E752" s="18"/>
      <c r="F752" s="18"/>
      <c r="G752" s="18"/>
      <c r="H752" s="18"/>
      <c r="I752" s="18"/>
      <c r="J752" s="18"/>
      <c r="K752" s="18"/>
      <c r="L752" s="18"/>
      <c r="M752" s="18"/>
      <c r="N752" s="18">
        <v>0</v>
      </c>
    </row>
    <row r="753" spans="1:14">
      <c r="A753" s="489" t="s">
        <v>1755</v>
      </c>
      <c r="B753" s="18"/>
      <c r="C753" s="18">
        <v>1090090</v>
      </c>
      <c r="D753" s="18"/>
      <c r="E753" s="18"/>
      <c r="F753" s="18"/>
      <c r="G753" s="18"/>
      <c r="H753" s="18"/>
      <c r="I753" s="18"/>
      <c r="J753" s="18"/>
      <c r="K753" s="18"/>
      <c r="L753" s="18"/>
      <c r="M753" s="18"/>
      <c r="N753" s="18">
        <v>1090090</v>
      </c>
    </row>
    <row r="754" spans="1:14">
      <c r="A754" s="489" t="s">
        <v>1545</v>
      </c>
      <c r="B754" s="18"/>
      <c r="C754" s="18">
        <v>2287466</v>
      </c>
      <c r="D754" s="18"/>
      <c r="E754" s="18"/>
      <c r="F754" s="18"/>
      <c r="G754" s="18"/>
      <c r="H754" s="18"/>
      <c r="I754" s="18"/>
      <c r="J754" s="18"/>
      <c r="K754" s="18"/>
      <c r="L754" s="18"/>
      <c r="M754" s="18"/>
      <c r="N754" s="18">
        <v>2287466</v>
      </c>
    </row>
    <row r="755" spans="1:14">
      <c r="A755" s="489" t="s">
        <v>1335</v>
      </c>
      <c r="B755" s="18"/>
      <c r="C755" s="18">
        <v>355000</v>
      </c>
      <c r="D755" s="18"/>
      <c r="E755" s="18"/>
      <c r="F755" s="18"/>
      <c r="G755" s="18"/>
      <c r="H755" s="18"/>
      <c r="I755" s="18"/>
      <c r="J755" s="18"/>
      <c r="K755" s="18"/>
      <c r="L755" s="18"/>
      <c r="M755" s="18"/>
      <c r="N755" s="18">
        <v>355000</v>
      </c>
    </row>
    <row r="756" spans="1:14">
      <c r="A756" s="489" t="s">
        <v>1125</v>
      </c>
      <c r="B756" s="18"/>
      <c r="C756" s="18">
        <v>0</v>
      </c>
      <c r="D756" s="18"/>
      <c r="E756" s="18"/>
      <c r="F756" s="18"/>
      <c r="G756" s="18"/>
      <c r="H756" s="18"/>
      <c r="I756" s="18"/>
      <c r="J756" s="18"/>
      <c r="K756" s="18"/>
      <c r="L756" s="18"/>
      <c r="M756" s="18"/>
      <c r="N756" s="18">
        <v>0</v>
      </c>
    </row>
    <row r="757" spans="1:14">
      <c r="A757" s="489" t="s">
        <v>915</v>
      </c>
      <c r="B757" s="18"/>
      <c r="C757" s="18">
        <v>0</v>
      </c>
      <c r="D757" s="18"/>
      <c r="E757" s="18"/>
      <c r="F757" s="18"/>
      <c r="G757" s="18"/>
      <c r="H757" s="18"/>
      <c r="I757" s="18"/>
      <c r="J757" s="18"/>
      <c r="K757" s="18"/>
      <c r="L757" s="18"/>
      <c r="M757" s="18"/>
      <c r="N757" s="18">
        <v>0</v>
      </c>
    </row>
    <row r="758" spans="1:14">
      <c r="A758" s="347" t="s">
        <v>1829</v>
      </c>
      <c r="B758" s="18"/>
      <c r="C758" s="18">
        <v>1090090</v>
      </c>
      <c r="D758" s="18"/>
      <c r="E758" s="18"/>
      <c r="F758" s="18"/>
      <c r="G758" s="18"/>
      <c r="H758" s="18"/>
      <c r="I758" s="18"/>
      <c r="J758" s="18"/>
      <c r="K758" s="18"/>
      <c r="L758" s="18"/>
      <c r="M758" s="18"/>
      <c r="N758" s="18">
        <v>1090090</v>
      </c>
    </row>
    <row r="759" spans="1:14">
      <c r="A759" s="347" t="s">
        <v>1619</v>
      </c>
      <c r="B759" s="18"/>
      <c r="C759" s="18">
        <v>2287466</v>
      </c>
      <c r="D759" s="18"/>
      <c r="E759" s="18"/>
      <c r="F759" s="18"/>
      <c r="G759" s="18"/>
      <c r="H759" s="18"/>
      <c r="I759" s="18"/>
      <c r="J759" s="18"/>
      <c r="K759" s="18"/>
      <c r="L759" s="18"/>
      <c r="M759" s="18"/>
      <c r="N759" s="18">
        <v>2287466</v>
      </c>
    </row>
    <row r="760" spans="1:14">
      <c r="A760" s="347" t="s">
        <v>1409</v>
      </c>
      <c r="B760" s="18"/>
      <c r="C760" s="18">
        <v>355000</v>
      </c>
      <c r="D760" s="18"/>
      <c r="E760" s="18"/>
      <c r="F760" s="18"/>
      <c r="G760" s="18"/>
      <c r="H760" s="18"/>
      <c r="I760" s="18"/>
      <c r="J760" s="18"/>
      <c r="K760" s="18"/>
      <c r="L760" s="18"/>
      <c r="M760" s="18"/>
      <c r="N760" s="18">
        <v>355000</v>
      </c>
    </row>
    <row r="761" spans="1:14">
      <c r="A761" s="347" t="s">
        <v>1199</v>
      </c>
      <c r="B761" s="18"/>
      <c r="C761" s="18">
        <v>0</v>
      </c>
      <c r="D761" s="18"/>
      <c r="E761" s="18"/>
      <c r="F761" s="18"/>
      <c r="G761" s="18"/>
      <c r="H761" s="18"/>
      <c r="I761" s="18"/>
      <c r="J761" s="18"/>
      <c r="K761" s="18"/>
      <c r="L761" s="18"/>
      <c r="M761" s="18"/>
      <c r="N761" s="18">
        <v>0</v>
      </c>
    </row>
    <row r="762" spans="1:14">
      <c r="A762" s="347" t="s">
        <v>989</v>
      </c>
      <c r="B762" s="18"/>
      <c r="C762" s="18">
        <v>0</v>
      </c>
      <c r="D762" s="18"/>
      <c r="E762" s="18"/>
      <c r="F762" s="18"/>
      <c r="G762" s="18"/>
      <c r="H762" s="18"/>
      <c r="I762" s="18"/>
      <c r="J762" s="18"/>
      <c r="K762" s="18"/>
      <c r="L762" s="18"/>
      <c r="M762" s="18"/>
      <c r="N762" s="18">
        <v>0</v>
      </c>
    </row>
    <row r="763" spans="1:14">
      <c r="A763" s="19" t="s">
        <v>1830</v>
      </c>
      <c r="B763" s="18"/>
      <c r="C763" s="18">
        <v>1090090</v>
      </c>
      <c r="D763" s="18"/>
      <c r="E763" s="18"/>
      <c r="F763" s="18"/>
      <c r="G763" s="18"/>
      <c r="H763" s="18"/>
      <c r="I763" s="18"/>
      <c r="J763" s="18"/>
      <c r="K763" s="18"/>
      <c r="L763" s="18"/>
      <c r="M763" s="18"/>
      <c r="N763" s="18">
        <v>1090090</v>
      </c>
    </row>
    <row r="764" spans="1:14">
      <c r="A764" s="19" t="s">
        <v>1620</v>
      </c>
      <c r="B764" s="18"/>
      <c r="C764" s="18">
        <v>2287466</v>
      </c>
      <c r="D764" s="18"/>
      <c r="E764" s="18"/>
      <c r="F764" s="18"/>
      <c r="G764" s="18"/>
      <c r="H764" s="18"/>
      <c r="I764" s="18"/>
      <c r="J764" s="18"/>
      <c r="K764" s="18"/>
      <c r="L764" s="18"/>
      <c r="M764" s="18"/>
      <c r="N764" s="18">
        <v>2287466</v>
      </c>
    </row>
    <row r="765" spans="1:14">
      <c r="A765" s="19" t="s">
        <v>1410</v>
      </c>
      <c r="B765" s="18"/>
      <c r="C765" s="18">
        <v>355000</v>
      </c>
      <c r="D765" s="18"/>
      <c r="E765" s="18"/>
      <c r="F765" s="18"/>
      <c r="G765" s="18"/>
      <c r="H765" s="18"/>
      <c r="I765" s="18"/>
      <c r="J765" s="18"/>
      <c r="K765" s="18"/>
      <c r="L765" s="18"/>
      <c r="M765" s="18"/>
      <c r="N765" s="18">
        <v>355000</v>
      </c>
    </row>
    <row r="766" spans="1:14">
      <c r="A766" s="19" t="s">
        <v>1200</v>
      </c>
      <c r="B766" s="18"/>
      <c r="C766" s="18">
        <v>0</v>
      </c>
      <c r="D766" s="18"/>
      <c r="E766" s="18"/>
      <c r="F766" s="18"/>
      <c r="G766" s="18"/>
      <c r="H766" s="18"/>
      <c r="I766" s="18"/>
      <c r="J766" s="18"/>
      <c r="K766" s="18"/>
      <c r="L766" s="18"/>
      <c r="M766" s="18"/>
      <c r="N766" s="18">
        <v>0</v>
      </c>
    </row>
    <row r="767" spans="1:14">
      <c r="A767" s="19" t="s">
        <v>990</v>
      </c>
      <c r="B767" s="18"/>
      <c r="C767" s="18">
        <v>0</v>
      </c>
      <c r="D767" s="18"/>
      <c r="E767" s="18"/>
      <c r="F767" s="18"/>
      <c r="G767" s="18"/>
      <c r="H767" s="18"/>
      <c r="I767" s="18"/>
      <c r="J767" s="18"/>
      <c r="K767" s="18"/>
      <c r="L767" s="18"/>
      <c r="M767" s="18"/>
      <c r="N767" s="18">
        <v>0</v>
      </c>
    </row>
    <row r="768" spans="1:14">
      <c r="A768" s="4" t="s">
        <v>1831</v>
      </c>
      <c r="B768" s="18"/>
      <c r="C768" s="18">
        <v>1090090</v>
      </c>
      <c r="D768" s="18"/>
      <c r="E768" s="18"/>
      <c r="F768" s="18"/>
      <c r="G768" s="18"/>
      <c r="H768" s="18"/>
      <c r="I768" s="18"/>
      <c r="J768" s="18"/>
      <c r="K768" s="18"/>
      <c r="L768" s="18"/>
      <c r="M768" s="18"/>
      <c r="N768" s="18">
        <v>1090090</v>
      </c>
    </row>
    <row r="769" spans="1:14">
      <c r="A769" s="4" t="s">
        <v>1621</v>
      </c>
      <c r="B769" s="18"/>
      <c r="C769" s="18">
        <v>2287466</v>
      </c>
      <c r="D769" s="18"/>
      <c r="E769" s="18"/>
      <c r="F769" s="18"/>
      <c r="G769" s="18"/>
      <c r="H769" s="18"/>
      <c r="I769" s="18"/>
      <c r="J769" s="18"/>
      <c r="K769" s="18"/>
      <c r="L769" s="18"/>
      <c r="M769" s="18"/>
      <c r="N769" s="18">
        <v>2287466</v>
      </c>
    </row>
    <row r="770" spans="1:14">
      <c r="A770" s="4" t="s">
        <v>1411</v>
      </c>
      <c r="B770" s="18"/>
      <c r="C770" s="18">
        <v>355000</v>
      </c>
      <c r="D770" s="18"/>
      <c r="E770" s="18"/>
      <c r="F770" s="18"/>
      <c r="G770" s="18"/>
      <c r="H770" s="18"/>
      <c r="I770" s="18"/>
      <c r="J770" s="18"/>
      <c r="K770" s="18"/>
      <c r="L770" s="18"/>
      <c r="M770" s="18"/>
      <c r="N770" s="18">
        <v>355000</v>
      </c>
    </row>
    <row r="771" spans="1:14">
      <c r="A771" s="4" t="s">
        <v>1201</v>
      </c>
      <c r="B771" s="18"/>
      <c r="C771" s="18">
        <v>0</v>
      </c>
      <c r="D771" s="18"/>
      <c r="E771" s="18"/>
      <c r="F771" s="18"/>
      <c r="G771" s="18"/>
      <c r="H771" s="18"/>
      <c r="I771" s="18"/>
      <c r="J771" s="18"/>
      <c r="K771" s="18"/>
      <c r="L771" s="18"/>
      <c r="M771" s="18"/>
      <c r="N771" s="18">
        <v>0</v>
      </c>
    </row>
    <row r="772" spans="1:14">
      <c r="A772" s="4" t="s">
        <v>991</v>
      </c>
      <c r="B772" s="18"/>
      <c r="C772" s="18">
        <v>0</v>
      </c>
      <c r="D772" s="18"/>
      <c r="E772" s="18"/>
      <c r="F772" s="18"/>
      <c r="G772" s="18"/>
      <c r="H772" s="18"/>
      <c r="I772" s="18"/>
      <c r="J772" s="18"/>
      <c r="K772" s="18"/>
      <c r="L772" s="18"/>
      <c r="M772" s="18"/>
      <c r="N772" s="18">
        <v>0</v>
      </c>
    </row>
    <row r="773" spans="1:14">
      <c r="A773" s="4">
        <v>1097171.1499999999</v>
      </c>
      <c r="B773" s="18"/>
      <c r="C773" s="18"/>
      <c r="D773" s="18"/>
      <c r="E773" s="18"/>
      <c r="F773" s="18"/>
      <c r="G773" s="18"/>
      <c r="H773" s="18"/>
      <c r="I773" s="18"/>
      <c r="J773" s="18"/>
      <c r="K773" s="18"/>
      <c r="L773" s="18"/>
      <c r="M773" s="18"/>
      <c r="N773" s="18"/>
    </row>
    <row r="774" spans="1:14">
      <c r="A774" s="19">
        <v>270000</v>
      </c>
      <c r="B774" s="18"/>
      <c r="C774" s="18"/>
      <c r="D774" s="18"/>
      <c r="E774" s="18"/>
      <c r="F774" s="18"/>
      <c r="G774" s="18"/>
      <c r="H774" s="18"/>
      <c r="I774" s="18"/>
      <c r="J774" s="18"/>
      <c r="K774" s="18"/>
      <c r="L774" s="18"/>
      <c r="M774" s="18"/>
      <c r="N774" s="18"/>
    </row>
    <row r="775" spans="1:14">
      <c r="A775" s="347">
        <v>1610935.1</v>
      </c>
      <c r="B775" s="18"/>
      <c r="C775" s="18"/>
      <c r="D775" s="18"/>
      <c r="E775" s="18"/>
      <c r="F775" s="18"/>
      <c r="G775" s="18"/>
      <c r="H775" s="18"/>
      <c r="I775" s="18"/>
      <c r="J775" s="18"/>
      <c r="K775" s="18"/>
      <c r="L775" s="18"/>
      <c r="M775" s="18"/>
      <c r="N775" s="18"/>
    </row>
    <row r="776" spans="1:14">
      <c r="A776" s="489">
        <v>11530</v>
      </c>
      <c r="B776" s="18"/>
      <c r="C776" s="18"/>
      <c r="D776" s="18"/>
      <c r="E776" s="18"/>
      <c r="F776" s="18"/>
      <c r="G776" s="18"/>
      <c r="H776" s="18"/>
      <c r="I776" s="18"/>
      <c r="J776" s="18"/>
      <c r="K776" s="18"/>
      <c r="L776" s="18"/>
      <c r="M776" s="18"/>
      <c r="N776" s="18"/>
    </row>
    <row r="777" spans="1:14">
      <c r="A777" s="753">
        <v>240000</v>
      </c>
      <c r="B777" s="18"/>
      <c r="C777" s="18"/>
      <c r="D777" s="18"/>
      <c r="E777" s="18"/>
      <c r="F777" s="18"/>
      <c r="G777" s="18"/>
      <c r="H777" s="18"/>
      <c r="I777" s="18"/>
      <c r="J777" s="18"/>
      <c r="K777" s="18"/>
      <c r="L777" s="18"/>
      <c r="M777" s="18"/>
      <c r="N777" s="18"/>
    </row>
    <row r="778" spans="1:14">
      <c r="A778" s="754" t="s">
        <v>898</v>
      </c>
      <c r="B778" s="18"/>
      <c r="C778" s="18"/>
      <c r="D778" s="18"/>
      <c r="E778" s="18"/>
      <c r="F778" s="18"/>
      <c r="G778" s="18"/>
      <c r="H778" s="18">
        <v>1097171.1499999999</v>
      </c>
      <c r="I778" s="18"/>
      <c r="J778" s="18"/>
      <c r="K778" s="18"/>
      <c r="L778" s="18"/>
      <c r="M778" s="18"/>
      <c r="N778" s="18">
        <v>1097171.1499999999</v>
      </c>
    </row>
    <row r="779" spans="1:14">
      <c r="A779" s="754" t="s">
        <v>901</v>
      </c>
      <c r="B779" s="18"/>
      <c r="C779" s="18"/>
      <c r="D779" s="18"/>
      <c r="E779" s="18"/>
      <c r="F779" s="18"/>
      <c r="G779" s="18"/>
      <c r="H779" s="18">
        <v>1610935.1</v>
      </c>
      <c r="I779" s="18"/>
      <c r="J779" s="18"/>
      <c r="K779" s="18"/>
      <c r="L779" s="18"/>
      <c r="M779" s="18"/>
      <c r="N779" s="18">
        <v>1610935.1</v>
      </c>
    </row>
    <row r="780" spans="1:14">
      <c r="A780" s="754" t="s">
        <v>903</v>
      </c>
      <c r="B780" s="18"/>
      <c r="C780" s="18"/>
      <c r="D780" s="18"/>
      <c r="E780" s="18"/>
      <c r="F780" s="18"/>
      <c r="G780" s="18"/>
      <c r="H780" s="18">
        <v>270000</v>
      </c>
      <c r="I780" s="18"/>
      <c r="J780" s="18"/>
      <c r="K780" s="18"/>
      <c r="L780" s="18"/>
      <c r="M780" s="18"/>
      <c r="N780" s="18">
        <v>270000</v>
      </c>
    </row>
    <row r="781" spans="1:14">
      <c r="A781" s="754" t="s">
        <v>905</v>
      </c>
      <c r="B781" s="18"/>
      <c r="C781" s="18"/>
      <c r="D781" s="18"/>
      <c r="E781" s="18"/>
      <c r="F781" s="18"/>
      <c r="G781" s="18"/>
      <c r="H781" s="18">
        <v>11530</v>
      </c>
      <c r="I781" s="18"/>
      <c r="J781" s="18"/>
      <c r="K781" s="18"/>
      <c r="L781" s="18"/>
      <c r="M781" s="18"/>
      <c r="N781" s="18">
        <v>11530</v>
      </c>
    </row>
    <row r="782" spans="1:14">
      <c r="A782" s="754" t="s">
        <v>174</v>
      </c>
      <c r="B782" s="18"/>
      <c r="C782" s="18"/>
      <c r="D782" s="18"/>
      <c r="E782" s="18"/>
      <c r="F782" s="18"/>
      <c r="G782" s="18"/>
      <c r="H782" s="18">
        <v>240000</v>
      </c>
      <c r="I782" s="18"/>
      <c r="J782" s="18"/>
      <c r="K782" s="18"/>
      <c r="L782" s="18"/>
      <c r="M782" s="18"/>
      <c r="N782" s="18">
        <v>240000</v>
      </c>
    </row>
    <row r="783" spans="1:14">
      <c r="A783" s="489" t="s">
        <v>1832</v>
      </c>
      <c r="B783" s="18"/>
      <c r="C783" s="18"/>
      <c r="D783" s="18"/>
      <c r="E783" s="18"/>
      <c r="F783" s="18"/>
      <c r="G783" s="18"/>
      <c r="H783" s="18">
        <v>1097171.1499999999</v>
      </c>
      <c r="I783" s="18"/>
      <c r="J783" s="18"/>
      <c r="K783" s="18"/>
      <c r="L783" s="18"/>
      <c r="M783" s="18"/>
      <c r="N783" s="18">
        <v>1097171.1499999999</v>
      </c>
    </row>
    <row r="784" spans="1:14">
      <c r="A784" s="489" t="s">
        <v>1622</v>
      </c>
      <c r="B784" s="18"/>
      <c r="C784" s="18"/>
      <c r="D784" s="18"/>
      <c r="E784" s="18"/>
      <c r="F784" s="18"/>
      <c r="G784" s="18"/>
      <c r="H784" s="18">
        <v>1610935.1</v>
      </c>
      <c r="I784" s="18"/>
      <c r="J784" s="18"/>
      <c r="K784" s="18"/>
      <c r="L784" s="18"/>
      <c r="M784" s="18"/>
      <c r="N784" s="18">
        <v>1610935.1</v>
      </c>
    </row>
    <row r="785" spans="1:14">
      <c r="A785" s="489" t="s">
        <v>1412</v>
      </c>
      <c r="B785" s="18"/>
      <c r="C785" s="18"/>
      <c r="D785" s="18"/>
      <c r="E785" s="18"/>
      <c r="F785" s="18"/>
      <c r="G785" s="18"/>
      <c r="H785" s="18">
        <v>270000</v>
      </c>
      <c r="I785" s="18"/>
      <c r="J785" s="18"/>
      <c r="K785" s="18"/>
      <c r="L785" s="18"/>
      <c r="M785" s="18"/>
      <c r="N785" s="18">
        <v>270000</v>
      </c>
    </row>
    <row r="786" spans="1:14">
      <c r="A786" s="489" t="s">
        <v>1202</v>
      </c>
      <c r="B786" s="18"/>
      <c r="C786" s="18"/>
      <c r="D786" s="18"/>
      <c r="E786" s="18"/>
      <c r="F786" s="18"/>
      <c r="G786" s="18"/>
      <c r="H786" s="18">
        <v>11530</v>
      </c>
      <c r="I786" s="18"/>
      <c r="J786" s="18"/>
      <c r="K786" s="18"/>
      <c r="L786" s="18"/>
      <c r="M786" s="18"/>
      <c r="N786" s="18">
        <v>11530</v>
      </c>
    </row>
    <row r="787" spans="1:14">
      <c r="A787" s="489" t="s">
        <v>992</v>
      </c>
      <c r="B787" s="18"/>
      <c r="C787" s="18"/>
      <c r="D787" s="18"/>
      <c r="E787" s="18"/>
      <c r="F787" s="18"/>
      <c r="G787" s="18"/>
      <c r="H787" s="18">
        <v>240000</v>
      </c>
      <c r="I787" s="18"/>
      <c r="J787" s="18"/>
      <c r="K787" s="18"/>
      <c r="L787" s="18"/>
      <c r="M787" s="18"/>
      <c r="N787" s="18">
        <v>240000</v>
      </c>
    </row>
    <row r="788" spans="1:14">
      <c r="A788" s="347" t="s">
        <v>1833</v>
      </c>
      <c r="B788" s="18"/>
      <c r="C788" s="18"/>
      <c r="D788" s="18"/>
      <c r="E788" s="18"/>
      <c r="F788" s="18"/>
      <c r="G788" s="18"/>
      <c r="H788" s="18">
        <v>1097171.1499999999</v>
      </c>
      <c r="I788" s="18"/>
      <c r="J788" s="18"/>
      <c r="K788" s="18"/>
      <c r="L788" s="18"/>
      <c r="M788" s="18"/>
      <c r="N788" s="18">
        <v>1097171.1499999999</v>
      </c>
    </row>
    <row r="789" spans="1:14">
      <c r="A789" s="347" t="s">
        <v>1623</v>
      </c>
      <c r="B789" s="18"/>
      <c r="C789" s="18"/>
      <c r="D789" s="18"/>
      <c r="E789" s="18"/>
      <c r="F789" s="18"/>
      <c r="G789" s="18"/>
      <c r="H789" s="18">
        <v>1610935.1</v>
      </c>
      <c r="I789" s="18"/>
      <c r="J789" s="18"/>
      <c r="K789" s="18"/>
      <c r="L789" s="18"/>
      <c r="M789" s="18"/>
      <c r="N789" s="18">
        <v>1610935.1</v>
      </c>
    </row>
    <row r="790" spans="1:14">
      <c r="A790" s="347" t="s">
        <v>1413</v>
      </c>
      <c r="B790" s="18"/>
      <c r="C790" s="18"/>
      <c r="D790" s="18"/>
      <c r="E790" s="18"/>
      <c r="F790" s="18"/>
      <c r="G790" s="18"/>
      <c r="H790" s="18">
        <v>270000</v>
      </c>
      <c r="I790" s="18"/>
      <c r="J790" s="18"/>
      <c r="K790" s="18"/>
      <c r="L790" s="18"/>
      <c r="M790" s="18"/>
      <c r="N790" s="18">
        <v>270000</v>
      </c>
    </row>
    <row r="791" spans="1:14">
      <c r="A791" s="347" t="s">
        <v>1203</v>
      </c>
      <c r="B791" s="18"/>
      <c r="C791" s="18"/>
      <c r="D791" s="18"/>
      <c r="E791" s="18"/>
      <c r="F791" s="18"/>
      <c r="G791" s="18"/>
      <c r="H791" s="18">
        <v>11530</v>
      </c>
      <c r="I791" s="18"/>
      <c r="J791" s="18"/>
      <c r="K791" s="18"/>
      <c r="L791" s="18"/>
      <c r="M791" s="18"/>
      <c r="N791" s="18">
        <v>11530</v>
      </c>
    </row>
    <row r="792" spans="1:14">
      <c r="A792" s="347" t="s">
        <v>993</v>
      </c>
      <c r="B792" s="18"/>
      <c r="C792" s="18"/>
      <c r="D792" s="18"/>
      <c r="E792" s="18"/>
      <c r="F792" s="18"/>
      <c r="G792" s="18"/>
      <c r="H792" s="18">
        <v>240000</v>
      </c>
      <c r="I792" s="18"/>
      <c r="J792" s="18"/>
      <c r="K792" s="18"/>
      <c r="L792" s="18"/>
      <c r="M792" s="18"/>
      <c r="N792" s="18">
        <v>240000</v>
      </c>
    </row>
    <row r="793" spans="1:14">
      <c r="A793" s="19" t="s">
        <v>1834</v>
      </c>
      <c r="B793" s="18"/>
      <c r="C793" s="18"/>
      <c r="D793" s="18"/>
      <c r="E793" s="18"/>
      <c r="F793" s="18"/>
      <c r="G793" s="18"/>
      <c r="H793" s="18">
        <v>1097171.1499999999</v>
      </c>
      <c r="I793" s="18"/>
      <c r="J793" s="18"/>
      <c r="K793" s="18"/>
      <c r="L793" s="18"/>
      <c r="M793" s="18"/>
      <c r="N793" s="18">
        <v>1097171.1499999999</v>
      </c>
    </row>
    <row r="794" spans="1:14">
      <c r="A794" s="19" t="s">
        <v>1624</v>
      </c>
      <c r="B794" s="18"/>
      <c r="C794" s="18"/>
      <c r="D794" s="18"/>
      <c r="E794" s="18"/>
      <c r="F794" s="18"/>
      <c r="G794" s="18"/>
      <c r="H794" s="18">
        <v>1610935.1</v>
      </c>
      <c r="I794" s="18"/>
      <c r="J794" s="18"/>
      <c r="K794" s="18"/>
      <c r="L794" s="18"/>
      <c r="M794" s="18"/>
      <c r="N794" s="18">
        <v>1610935.1</v>
      </c>
    </row>
    <row r="795" spans="1:14">
      <c r="A795" s="19" t="s">
        <v>1414</v>
      </c>
      <c r="B795" s="18"/>
      <c r="C795" s="18"/>
      <c r="D795" s="18"/>
      <c r="E795" s="18"/>
      <c r="F795" s="18"/>
      <c r="G795" s="18"/>
      <c r="H795" s="18">
        <v>270000</v>
      </c>
      <c r="I795" s="18"/>
      <c r="J795" s="18"/>
      <c r="K795" s="18"/>
      <c r="L795" s="18"/>
      <c r="M795" s="18"/>
      <c r="N795" s="18">
        <v>270000</v>
      </c>
    </row>
    <row r="796" spans="1:14">
      <c r="A796" s="19" t="s">
        <v>1204</v>
      </c>
      <c r="B796" s="18"/>
      <c r="C796" s="18"/>
      <c r="D796" s="18"/>
      <c r="E796" s="18"/>
      <c r="F796" s="18"/>
      <c r="G796" s="18"/>
      <c r="H796" s="18">
        <v>11530</v>
      </c>
      <c r="I796" s="18"/>
      <c r="J796" s="18"/>
      <c r="K796" s="18"/>
      <c r="L796" s="18"/>
      <c r="M796" s="18"/>
      <c r="N796" s="18">
        <v>11530</v>
      </c>
    </row>
    <row r="797" spans="1:14">
      <c r="A797" s="19" t="s">
        <v>994</v>
      </c>
      <c r="B797" s="18"/>
      <c r="C797" s="18"/>
      <c r="D797" s="18"/>
      <c r="E797" s="18"/>
      <c r="F797" s="18"/>
      <c r="G797" s="18"/>
      <c r="H797" s="18">
        <v>240000</v>
      </c>
      <c r="I797" s="18"/>
      <c r="J797" s="18"/>
      <c r="K797" s="18"/>
      <c r="L797" s="18"/>
      <c r="M797" s="18"/>
      <c r="N797" s="18">
        <v>240000</v>
      </c>
    </row>
    <row r="798" spans="1:14">
      <c r="A798" s="4" t="s">
        <v>1835</v>
      </c>
      <c r="B798" s="18"/>
      <c r="C798" s="18"/>
      <c r="D798" s="18"/>
      <c r="E798" s="18"/>
      <c r="F798" s="18"/>
      <c r="G798" s="18"/>
      <c r="H798" s="18">
        <v>1097171.1499999999</v>
      </c>
      <c r="I798" s="18"/>
      <c r="J798" s="18"/>
      <c r="K798" s="18"/>
      <c r="L798" s="18"/>
      <c r="M798" s="18"/>
      <c r="N798" s="18">
        <v>1097171.1499999999</v>
      </c>
    </row>
    <row r="799" spans="1:14">
      <c r="A799" s="4" t="s">
        <v>1625</v>
      </c>
      <c r="B799" s="18"/>
      <c r="C799" s="18"/>
      <c r="D799" s="18"/>
      <c r="E799" s="18"/>
      <c r="F799" s="18"/>
      <c r="G799" s="18"/>
      <c r="H799" s="18">
        <v>1610935.1</v>
      </c>
      <c r="I799" s="18"/>
      <c r="J799" s="18"/>
      <c r="K799" s="18"/>
      <c r="L799" s="18"/>
      <c r="M799" s="18"/>
      <c r="N799" s="18">
        <v>1610935.1</v>
      </c>
    </row>
    <row r="800" spans="1:14">
      <c r="A800" s="4" t="s">
        <v>1415</v>
      </c>
      <c r="B800" s="18"/>
      <c r="C800" s="18"/>
      <c r="D800" s="18"/>
      <c r="E800" s="18"/>
      <c r="F800" s="18"/>
      <c r="G800" s="18"/>
      <c r="H800" s="18">
        <v>270000</v>
      </c>
      <c r="I800" s="18"/>
      <c r="J800" s="18"/>
      <c r="K800" s="18"/>
      <c r="L800" s="18"/>
      <c r="M800" s="18"/>
      <c r="N800" s="18">
        <v>270000</v>
      </c>
    </row>
    <row r="801" spans="1:14">
      <c r="A801" s="4" t="s">
        <v>1205</v>
      </c>
      <c r="B801" s="18"/>
      <c r="C801" s="18"/>
      <c r="D801" s="18"/>
      <c r="E801" s="18"/>
      <c r="F801" s="18"/>
      <c r="G801" s="18"/>
      <c r="H801" s="18">
        <v>11530</v>
      </c>
      <c r="I801" s="18"/>
      <c r="J801" s="18"/>
      <c r="K801" s="18"/>
      <c r="L801" s="18"/>
      <c r="M801" s="18"/>
      <c r="N801" s="18">
        <v>11530</v>
      </c>
    </row>
    <row r="802" spans="1:14">
      <c r="A802" s="4" t="s">
        <v>995</v>
      </c>
      <c r="B802" s="18"/>
      <c r="C802" s="18"/>
      <c r="D802" s="18"/>
      <c r="E802" s="18"/>
      <c r="F802" s="18"/>
      <c r="G802" s="18"/>
      <c r="H802" s="18">
        <v>240000</v>
      </c>
      <c r="I802" s="18"/>
      <c r="J802" s="18"/>
      <c r="K802" s="18"/>
      <c r="L802" s="18"/>
      <c r="M802" s="18"/>
      <c r="N802" s="18">
        <v>240000</v>
      </c>
    </row>
    <row r="803" spans="1:14">
      <c r="A803" s="4">
        <v>1114138.939686775</v>
      </c>
      <c r="B803" s="18"/>
      <c r="C803" s="18"/>
      <c r="D803" s="18"/>
      <c r="E803" s="18"/>
      <c r="F803" s="18"/>
      <c r="G803" s="18"/>
      <c r="H803" s="18"/>
      <c r="I803" s="18"/>
      <c r="J803" s="18"/>
      <c r="K803" s="18"/>
      <c r="L803" s="18"/>
      <c r="M803" s="18"/>
      <c r="N803" s="18"/>
    </row>
    <row r="804" spans="1:14">
      <c r="A804" s="19">
        <v>200000</v>
      </c>
      <c r="B804" s="18"/>
      <c r="C804" s="18"/>
      <c r="D804" s="18"/>
      <c r="E804" s="18"/>
      <c r="F804" s="18"/>
      <c r="G804" s="18"/>
      <c r="H804" s="18"/>
      <c r="I804" s="18"/>
      <c r="J804" s="18"/>
      <c r="K804" s="18"/>
      <c r="L804" s="18"/>
      <c r="M804" s="18"/>
      <c r="N804" s="18"/>
    </row>
    <row r="805" spans="1:14">
      <c r="A805" s="347">
        <v>2066681</v>
      </c>
      <c r="B805" s="18"/>
      <c r="C805" s="18"/>
      <c r="D805" s="18"/>
      <c r="E805" s="18"/>
      <c r="F805" s="18"/>
      <c r="G805" s="18"/>
      <c r="H805" s="18"/>
      <c r="I805" s="18"/>
      <c r="J805" s="18"/>
      <c r="K805" s="18"/>
      <c r="L805" s="18"/>
      <c r="M805" s="18"/>
      <c r="N805" s="18"/>
    </row>
    <row r="806" spans="1:14">
      <c r="A806" s="489">
        <v>29518</v>
      </c>
      <c r="B806" s="18"/>
      <c r="C806" s="18"/>
      <c r="D806" s="18"/>
      <c r="E806" s="18"/>
      <c r="F806" s="18"/>
      <c r="G806" s="18"/>
      <c r="H806" s="18"/>
      <c r="I806" s="18"/>
      <c r="J806" s="18"/>
      <c r="K806" s="18"/>
      <c r="L806" s="18"/>
      <c r="M806" s="18"/>
      <c r="N806" s="18"/>
    </row>
    <row r="807" spans="1:14">
      <c r="A807" s="753">
        <v>0</v>
      </c>
      <c r="B807" s="18"/>
      <c r="C807" s="18"/>
      <c r="D807" s="18"/>
      <c r="E807" s="18"/>
      <c r="F807" s="18"/>
      <c r="G807" s="18"/>
      <c r="H807" s="18"/>
      <c r="I807" s="18"/>
      <c r="J807" s="18"/>
      <c r="K807" s="18"/>
      <c r="L807" s="18"/>
      <c r="M807" s="18"/>
      <c r="N807" s="18"/>
    </row>
    <row r="808" spans="1:14">
      <c r="A808" s="754" t="s">
        <v>898</v>
      </c>
      <c r="B808" s="18"/>
      <c r="C808" s="18"/>
      <c r="D808" s="18"/>
      <c r="E808" s="18"/>
      <c r="F808" s="18"/>
      <c r="G808" s="18">
        <v>1114138.939686775</v>
      </c>
      <c r="H808" s="18"/>
      <c r="I808" s="18"/>
      <c r="J808" s="18"/>
      <c r="K808" s="18"/>
      <c r="L808" s="18"/>
      <c r="M808" s="18"/>
      <c r="N808" s="18">
        <v>1114138.939686775</v>
      </c>
    </row>
    <row r="809" spans="1:14">
      <c r="A809" s="754" t="s">
        <v>901</v>
      </c>
      <c r="B809" s="18"/>
      <c r="C809" s="18"/>
      <c r="D809" s="18"/>
      <c r="E809" s="18"/>
      <c r="F809" s="18"/>
      <c r="G809" s="18">
        <v>2066681</v>
      </c>
      <c r="H809" s="18"/>
      <c r="I809" s="18"/>
      <c r="J809" s="18"/>
      <c r="K809" s="18"/>
      <c r="L809" s="18"/>
      <c r="M809" s="18"/>
      <c r="N809" s="18">
        <v>2066681</v>
      </c>
    </row>
    <row r="810" spans="1:14">
      <c r="A810" s="754" t="s">
        <v>903</v>
      </c>
      <c r="B810" s="18"/>
      <c r="C810" s="18"/>
      <c r="D810" s="18"/>
      <c r="E810" s="18"/>
      <c r="F810" s="18"/>
      <c r="G810" s="18">
        <v>200000</v>
      </c>
      <c r="H810" s="18"/>
      <c r="I810" s="18"/>
      <c r="J810" s="18"/>
      <c r="K810" s="18"/>
      <c r="L810" s="18"/>
      <c r="M810" s="18"/>
      <c r="N810" s="18">
        <v>200000</v>
      </c>
    </row>
    <row r="811" spans="1:14">
      <c r="A811" s="754" t="s">
        <v>905</v>
      </c>
      <c r="B811" s="18"/>
      <c r="C811" s="18"/>
      <c r="D811" s="18"/>
      <c r="E811" s="18"/>
      <c r="F811" s="18"/>
      <c r="G811" s="18">
        <v>29518</v>
      </c>
      <c r="H811" s="18"/>
      <c r="I811" s="18"/>
      <c r="J811" s="18"/>
      <c r="K811" s="18"/>
      <c r="L811" s="18"/>
      <c r="M811" s="18"/>
      <c r="N811" s="18">
        <v>29518</v>
      </c>
    </row>
    <row r="812" spans="1:14">
      <c r="A812" s="754" t="s">
        <v>174</v>
      </c>
      <c r="B812" s="18"/>
      <c r="C812" s="18"/>
      <c r="D812" s="18"/>
      <c r="E812" s="18"/>
      <c r="F812" s="18"/>
      <c r="G812" s="18">
        <v>0</v>
      </c>
      <c r="H812" s="18"/>
      <c r="I812" s="18"/>
      <c r="J812" s="18"/>
      <c r="K812" s="18"/>
      <c r="L812" s="18"/>
      <c r="M812" s="18"/>
      <c r="N812" s="18">
        <v>0</v>
      </c>
    </row>
    <row r="813" spans="1:14">
      <c r="A813" s="489" t="s">
        <v>1836</v>
      </c>
      <c r="B813" s="18"/>
      <c r="C813" s="18"/>
      <c r="D813" s="18"/>
      <c r="E813" s="18"/>
      <c r="F813" s="18"/>
      <c r="G813" s="18">
        <v>1114138.939686775</v>
      </c>
      <c r="H813" s="18"/>
      <c r="I813" s="18"/>
      <c r="J813" s="18"/>
      <c r="K813" s="18"/>
      <c r="L813" s="18"/>
      <c r="M813" s="18"/>
      <c r="N813" s="18">
        <v>1114138.939686775</v>
      </c>
    </row>
    <row r="814" spans="1:14">
      <c r="A814" s="489" t="s">
        <v>1626</v>
      </c>
      <c r="B814" s="18"/>
      <c r="C814" s="18"/>
      <c r="D814" s="18"/>
      <c r="E814" s="18"/>
      <c r="F814" s="18"/>
      <c r="G814" s="18">
        <v>2066681</v>
      </c>
      <c r="H814" s="18"/>
      <c r="I814" s="18"/>
      <c r="J814" s="18"/>
      <c r="K814" s="18"/>
      <c r="L814" s="18"/>
      <c r="M814" s="18"/>
      <c r="N814" s="18">
        <v>2066681</v>
      </c>
    </row>
    <row r="815" spans="1:14">
      <c r="A815" s="489" t="s">
        <v>1416</v>
      </c>
      <c r="B815" s="18"/>
      <c r="C815" s="18"/>
      <c r="D815" s="18"/>
      <c r="E815" s="18"/>
      <c r="F815" s="18"/>
      <c r="G815" s="18">
        <v>200000</v>
      </c>
      <c r="H815" s="18"/>
      <c r="I815" s="18"/>
      <c r="J815" s="18"/>
      <c r="K815" s="18"/>
      <c r="L815" s="18"/>
      <c r="M815" s="18"/>
      <c r="N815" s="18">
        <v>200000</v>
      </c>
    </row>
    <row r="816" spans="1:14">
      <c r="A816" s="489" t="s">
        <v>1206</v>
      </c>
      <c r="B816" s="18"/>
      <c r="C816" s="18"/>
      <c r="D816" s="18"/>
      <c r="E816" s="18"/>
      <c r="F816" s="18"/>
      <c r="G816" s="18">
        <v>29518</v>
      </c>
      <c r="H816" s="18"/>
      <c r="I816" s="18"/>
      <c r="J816" s="18"/>
      <c r="K816" s="18"/>
      <c r="L816" s="18"/>
      <c r="M816" s="18"/>
      <c r="N816" s="18">
        <v>29518</v>
      </c>
    </row>
    <row r="817" spans="1:14">
      <c r="A817" s="489" t="s">
        <v>996</v>
      </c>
      <c r="B817" s="18"/>
      <c r="C817" s="18"/>
      <c r="D817" s="18"/>
      <c r="E817" s="18"/>
      <c r="F817" s="18"/>
      <c r="G817" s="18">
        <v>0</v>
      </c>
      <c r="H817" s="18"/>
      <c r="I817" s="18"/>
      <c r="J817" s="18"/>
      <c r="K817" s="18"/>
      <c r="L817" s="18"/>
      <c r="M817" s="18"/>
      <c r="N817" s="18">
        <v>0</v>
      </c>
    </row>
    <row r="818" spans="1:14">
      <c r="A818" s="347" t="s">
        <v>1837</v>
      </c>
      <c r="B818" s="18"/>
      <c r="C818" s="18"/>
      <c r="D818" s="18"/>
      <c r="E818" s="18"/>
      <c r="F818" s="18"/>
      <c r="G818" s="18">
        <v>1114138.939686775</v>
      </c>
      <c r="H818" s="18"/>
      <c r="I818" s="18"/>
      <c r="J818" s="18"/>
      <c r="K818" s="18"/>
      <c r="L818" s="18"/>
      <c r="M818" s="18"/>
      <c r="N818" s="18">
        <v>1114138.939686775</v>
      </c>
    </row>
    <row r="819" spans="1:14">
      <c r="A819" s="347" t="s">
        <v>1627</v>
      </c>
      <c r="B819" s="18"/>
      <c r="C819" s="18"/>
      <c r="D819" s="18"/>
      <c r="E819" s="18"/>
      <c r="F819" s="18"/>
      <c r="G819" s="18">
        <v>2066681</v>
      </c>
      <c r="H819" s="18"/>
      <c r="I819" s="18"/>
      <c r="J819" s="18"/>
      <c r="K819" s="18"/>
      <c r="L819" s="18"/>
      <c r="M819" s="18"/>
      <c r="N819" s="18">
        <v>2066681</v>
      </c>
    </row>
    <row r="820" spans="1:14">
      <c r="A820" s="347" t="s">
        <v>1417</v>
      </c>
      <c r="B820" s="18"/>
      <c r="C820" s="18"/>
      <c r="D820" s="18"/>
      <c r="E820" s="18"/>
      <c r="F820" s="18"/>
      <c r="G820" s="18">
        <v>200000</v>
      </c>
      <c r="H820" s="18"/>
      <c r="I820" s="18"/>
      <c r="J820" s="18"/>
      <c r="K820" s="18"/>
      <c r="L820" s="18"/>
      <c r="M820" s="18"/>
      <c r="N820" s="18">
        <v>200000</v>
      </c>
    </row>
    <row r="821" spans="1:14">
      <c r="A821" s="347" t="s">
        <v>1207</v>
      </c>
      <c r="B821" s="18"/>
      <c r="C821" s="18"/>
      <c r="D821" s="18"/>
      <c r="E821" s="18"/>
      <c r="F821" s="18"/>
      <c r="G821" s="18">
        <v>29518</v>
      </c>
      <c r="H821" s="18"/>
      <c r="I821" s="18"/>
      <c r="J821" s="18"/>
      <c r="K821" s="18"/>
      <c r="L821" s="18"/>
      <c r="M821" s="18"/>
      <c r="N821" s="18">
        <v>29518</v>
      </c>
    </row>
    <row r="822" spans="1:14">
      <c r="A822" s="347" t="s">
        <v>997</v>
      </c>
      <c r="B822" s="18"/>
      <c r="C822" s="18"/>
      <c r="D822" s="18"/>
      <c r="E822" s="18"/>
      <c r="F822" s="18"/>
      <c r="G822" s="18">
        <v>0</v>
      </c>
      <c r="H822" s="18"/>
      <c r="I822" s="18"/>
      <c r="J822" s="18"/>
      <c r="K822" s="18"/>
      <c r="L822" s="18"/>
      <c r="M822" s="18"/>
      <c r="N822" s="18">
        <v>0</v>
      </c>
    </row>
    <row r="823" spans="1:14">
      <c r="A823" s="19" t="s">
        <v>1838</v>
      </c>
      <c r="B823" s="18"/>
      <c r="C823" s="18"/>
      <c r="D823" s="18"/>
      <c r="E823" s="18"/>
      <c r="F823" s="18"/>
      <c r="G823" s="18">
        <v>1114138.939686775</v>
      </c>
      <c r="H823" s="18"/>
      <c r="I823" s="18"/>
      <c r="J823" s="18"/>
      <c r="K823" s="18"/>
      <c r="L823" s="18"/>
      <c r="M823" s="18"/>
      <c r="N823" s="18">
        <v>1114138.939686775</v>
      </c>
    </row>
    <row r="824" spans="1:14">
      <c r="A824" s="19" t="s">
        <v>1628</v>
      </c>
      <c r="B824" s="18"/>
      <c r="C824" s="18"/>
      <c r="D824" s="18"/>
      <c r="E824" s="18"/>
      <c r="F824" s="18"/>
      <c r="G824" s="18">
        <v>2066681</v>
      </c>
      <c r="H824" s="18"/>
      <c r="I824" s="18"/>
      <c r="J824" s="18"/>
      <c r="K824" s="18"/>
      <c r="L824" s="18"/>
      <c r="M824" s="18"/>
      <c r="N824" s="18">
        <v>2066681</v>
      </c>
    </row>
    <row r="825" spans="1:14">
      <c r="A825" s="19" t="s">
        <v>1418</v>
      </c>
      <c r="B825" s="18"/>
      <c r="C825" s="18"/>
      <c r="D825" s="18"/>
      <c r="E825" s="18"/>
      <c r="F825" s="18"/>
      <c r="G825" s="18">
        <v>200000</v>
      </c>
      <c r="H825" s="18"/>
      <c r="I825" s="18"/>
      <c r="J825" s="18"/>
      <c r="K825" s="18"/>
      <c r="L825" s="18"/>
      <c r="M825" s="18"/>
      <c r="N825" s="18">
        <v>200000</v>
      </c>
    </row>
    <row r="826" spans="1:14">
      <c r="A826" s="19" t="s">
        <v>1208</v>
      </c>
      <c r="B826" s="18"/>
      <c r="C826" s="18"/>
      <c r="D826" s="18"/>
      <c r="E826" s="18"/>
      <c r="F826" s="18"/>
      <c r="G826" s="18">
        <v>29518</v>
      </c>
      <c r="H826" s="18"/>
      <c r="I826" s="18"/>
      <c r="J826" s="18"/>
      <c r="K826" s="18"/>
      <c r="L826" s="18"/>
      <c r="M826" s="18"/>
      <c r="N826" s="18">
        <v>29518</v>
      </c>
    </row>
    <row r="827" spans="1:14">
      <c r="A827" s="19" t="s">
        <v>998</v>
      </c>
      <c r="B827" s="18"/>
      <c r="C827" s="18"/>
      <c r="D827" s="18"/>
      <c r="E827" s="18"/>
      <c r="F827" s="18"/>
      <c r="G827" s="18">
        <v>0</v>
      </c>
      <c r="H827" s="18"/>
      <c r="I827" s="18"/>
      <c r="J827" s="18"/>
      <c r="K827" s="18"/>
      <c r="L827" s="18"/>
      <c r="M827" s="18"/>
      <c r="N827" s="18">
        <v>0</v>
      </c>
    </row>
    <row r="828" spans="1:14">
      <c r="A828" s="4" t="s">
        <v>1839</v>
      </c>
      <c r="B828" s="18"/>
      <c r="C828" s="18"/>
      <c r="D828" s="18"/>
      <c r="E828" s="18"/>
      <c r="F828" s="18"/>
      <c r="G828" s="18">
        <v>1114138.939686775</v>
      </c>
      <c r="H828" s="18"/>
      <c r="I828" s="18"/>
      <c r="J828" s="18"/>
      <c r="K828" s="18"/>
      <c r="L828" s="18"/>
      <c r="M828" s="18"/>
      <c r="N828" s="18">
        <v>1114138.939686775</v>
      </c>
    </row>
    <row r="829" spans="1:14">
      <c r="A829" s="4" t="s">
        <v>1629</v>
      </c>
      <c r="B829" s="18"/>
      <c r="C829" s="18"/>
      <c r="D829" s="18"/>
      <c r="E829" s="18"/>
      <c r="F829" s="18"/>
      <c r="G829" s="18">
        <v>2066681</v>
      </c>
      <c r="H829" s="18"/>
      <c r="I829" s="18"/>
      <c r="J829" s="18"/>
      <c r="K829" s="18"/>
      <c r="L829" s="18"/>
      <c r="M829" s="18"/>
      <c r="N829" s="18">
        <v>2066681</v>
      </c>
    </row>
    <row r="830" spans="1:14">
      <c r="A830" s="4" t="s">
        <v>1419</v>
      </c>
      <c r="B830" s="18"/>
      <c r="C830" s="18"/>
      <c r="D830" s="18"/>
      <c r="E830" s="18"/>
      <c r="F830" s="18"/>
      <c r="G830" s="18">
        <v>200000</v>
      </c>
      <c r="H830" s="18"/>
      <c r="I830" s="18"/>
      <c r="J830" s="18"/>
      <c r="K830" s="18"/>
      <c r="L830" s="18"/>
      <c r="M830" s="18"/>
      <c r="N830" s="18">
        <v>200000</v>
      </c>
    </row>
    <row r="831" spans="1:14">
      <c r="A831" s="4" t="s">
        <v>1209</v>
      </c>
      <c r="B831" s="18"/>
      <c r="C831" s="18"/>
      <c r="D831" s="18"/>
      <c r="E831" s="18"/>
      <c r="F831" s="18"/>
      <c r="G831" s="18">
        <v>29518</v>
      </c>
      <c r="H831" s="18"/>
      <c r="I831" s="18"/>
      <c r="J831" s="18"/>
      <c r="K831" s="18"/>
      <c r="L831" s="18"/>
      <c r="M831" s="18"/>
      <c r="N831" s="18">
        <v>29518</v>
      </c>
    </row>
    <row r="832" spans="1:14">
      <c r="A832" s="4" t="s">
        <v>999</v>
      </c>
      <c r="B832" s="18"/>
      <c r="C832" s="18"/>
      <c r="D832" s="18"/>
      <c r="E832" s="18"/>
      <c r="F832" s="18"/>
      <c r="G832" s="18">
        <v>0</v>
      </c>
      <c r="H832" s="18"/>
      <c r="I832" s="18"/>
      <c r="J832" s="18"/>
      <c r="K832" s="18"/>
      <c r="L832" s="18"/>
      <c r="M832" s="18"/>
      <c r="N832" s="18">
        <v>0</v>
      </c>
    </row>
    <row r="833" spans="1:14">
      <c r="A833" s="4">
        <v>1134685.53</v>
      </c>
      <c r="B833" s="18"/>
      <c r="C833" s="18"/>
      <c r="D833" s="18"/>
      <c r="E833" s="18"/>
      <c r="F833" s="18"/>
      <c r="G833" s="18"/>
      <c r="H833" s="18"/>
      <c r="I833" s="18"/>
      <c r="J833" s="18"/>
      <c r="K833" s="18"/>
      <c r="L833" s="18"/>
      <c r="M833" s="18"/>
      <c r="N833" s="18"/>
    </row>
    <row r="834" spans="1:14">
      <c r="A834" s="19">
        <v>500000</v>
      </c>
      <c r="B834" s="18"/>
      <c r="C834" s="18"/>
      <c r="D834" s="18"/>
      <c r="E834" s="18"/>
      <c r="F834" s="18"/>
      <c r="G834" s="18"/>
      <c r="H834" s="18"/>
      <c r="I834" s="18"/>
      <c r="J834" s="18"/>
      <c r="K834" s="18"/>
      <c r="L834" s="18"/>
      <c r="M834" s="18"/>
      <c r="N834" s="18"/>
    </row>
    <row r="835" spans="1:14">
      <c r="A835" s="347">
        <v>1900232.32</v>
      </c>
      <c r="B835" s="18"/>
      <c r="C835" s="18"/>
      <c r="D835" s="18"/>
      <c r="E835" s="18"/>
      <c r="F835" s="18"/>
      <c r="G835" s="18"/>
      <c r="H835" s="18"/>
      <c r="I835" s="18"/>
      <c r="J835" s="18"/>
      <c r="K835" s="18"/>
      <c r="L835" s="18"/>
      <c r="M835" s="18"/>
      <c r="N835" s="18"/>
    </row>
    <row r="836" spans="1:14">
      <c r="A836" s="489">
        <v>0</v>
      </c>
      <c r="B836" s="18"/>
      <c r="C836" s="18"/>
      <c r="D836" s="18"/>
      <c r="E836" s="18"/>
      <c r="F836" s="18"/>
      <c r="G836" s="18"/>
      <c r="H836" s="18"/>
      <c r="I836" s="18"/>
      <c r="J836" s="18"/>
      <c r="K836" s="18"/>
      <c r="L836" s="18"/>
      <c r="M836" s="18"/>
      <c r="N836" s="18"/>
    </row>
    <row r="837" spans="1:14">
      <c r="A837" s="753">
        <v>190000</v>
      </c>
      <c r="B837" s="18"/>
      <c r="C837" s="18"/>
      <c r="D837" s="18"/>
      <c r="E837" s="18"/>
      <c r="F837" s="18"/>
      <c r="G837" s="18"/>
      <c r="H837" s="18"/>
      <c r="I837" s="18"/>
      <c r="J837" s="18"/>
      <c r="K837" s="18"/>
      <c r="L837" s="18"/>
      <c r="M837" s="18"/>
      <c r="N837" s="18"/>
    </row>
    <row r="838" spans="1:14">
      <c r="A838" s="754" t="s">
        <v>898</v>
      </c>
      <c r="B838" s="18"/>
      <c r="C838" s="18"/>
      <c r="D838" s="18"/>
      <c r="E838" s="18"/>
      <c r="F838" s="18"/>
      <c r="G838" s="18"/>
      <c r="H838" s="18"/>
      <c r="I838" s="18">
        <v>1134685.53</v>
      </c>
      <c r="J838" s="18"/>
      <c r="K838" s="18"/>
      <c r="L838" s="18"/>
      <c r="M838" s="18"/>
      <c r="N838" s="18">
        <v>1134685.53</v>
      </c>
    </row>
    <row r="839" spans="1:14">
      <c r="A839" s="754" t="s">
        <v>901</v>
      </c>
      <c r="B839" s="18"/>
      <c r="C839" s="18"/>
      <c r="D839" s="18"/>
      <c r="E839" s="18"/>
      <c r="F839" s="18"/>
      <c r="G839" s="18"/>
      <c r="H839" s="18"/>
      <c r="I839" s="18">
        <v>1900232.32</v>
      </c>
      <c r="J839" s="18"/>
      <c r="K839" s="18"/>
      <c r="L839" s="18"/>
      <c r="M839" s="18"/>
      <c r="N839" s="18">
        <v>1900232.32</v>
      </c>
    </row>
    <row r="840" spans="1:14">
      <c r="A840" s="754" t="s">
        <v>903</v>
      </c>
      <c r="B840" s="18"/>
      <c r="C840" s="18"/>
      <c r="D840" s="18"/>
      <c r="E840" s="18"/>
      <c r="F840" s="18"/>
      <c r="G840" s="18"/>
      <c r="H840" s="18"/>
      <c r="I840" s="18">
        <v>500000</v>
      </c>
      <c r="J840" s="18"/>
      <c r="K840" s="18"/>
      <c r="L840" s="18"/>
      <c r="M840" s="18"/>
      <c r="N840" s="18">
        <v>500000</v>
      </c>
    </row>
    <row r="841" spans="1:14">
      <c r="A841" s="754" t="s">
        <v>905</v>
      </c>
      <c r="B841" s="18"/>
      <c r="C841" s="18"/>
      <c r="D841" s="18"/>
      <c r="E841" s="18"/>
      <c r="F841" s="18"/>
      <c r="G841" s="18"/>
      <c r="H841" s="18"/>
      <c r="I841" s="18">
        <v>0</v>
      </c>
      <c r="J841" s="18"/>
      <c r="K841" s="18"/>
      <c r="L841" s="18"/>
      <c r="M841" s="18"/>
      <c r="N841" s="18">
        <v>0</v>
      </c>
    </row>
    <row r="842" spans="1:14">
      <c r="A842" s="754" t="s">
        <v>174</v>
      </c>
      <c r="B842" s="18"/>
      <c r="C842" s="18"/>
      <c r="D842" s="18"/>
      <c r="E842" s="18"/>
      <c r="F842" s="18"/>
      <c r="G842" s="18"/>
      <c r="H842" s="18"/>
      <c r="I842" s="18">
        <v>190000</v>
      </c>
      <c r="J842" s="18"/>
      <c r="K842" s="18"/>
      <c r="L842" s="18"/>
      <c r="M842" s="18"/>
      <c r="N842" s="18">
        <v>190000</v>
      </c>
    </row>
    <row r="843" spans="1:14">
      <c r="A843" s="489" t="s">
        <v>1755</v>
      </c>
      <c r="B843" s="18"/>
      <c r="C843" s="18"/>
      <c r="D843" s="18"/>
      <c r="E843" s="18"/>
      <c r="F843" s="18"/>
      <c r="G843" s="18"/>
      <c r="H843" s="18"/>
      <c r="I843" s="18">
        <v>1134685.53</v>
      </c>
      <c r="J843" s="18"/>
      <c r="K843" s="18"/>
      <c r="L843" s="18"/>
      <c r="M843" s="18"/>
      <c r="N843" s="18">
        <v>1134685.53</v>
      </c>
    </row>
    <row r="844" spans="1:14">
      <c r="A844" s="489" t="s">
        <v>1545</v>
      </c>
      <c r="B844" s="18"/>
      <c r="C844" s="18"/>
      <c r="D844" s="18"/>
      <c r="E844" s="18"/>
      <c r="F844" s="18"/>
      <c r="G844" s="18"/>
      <c r="H844" s="18"/>
      <c r="I844" s="18">
        <v>1900232.32</v>
      </c>
      <c r="J844" s="18"/>
      <c r="K844" s="18"/>
      <c r="L844" s="18"/>
      <c r="M844" s="18"/>
      <c r="N844" s="18">
        <v>1900232.32</v>
      </c>
    </row>
    <row r="845" spans="1:14">
      <c r="A845" s="489" t="s">
        <v>1335</v>
      </c>
      <c r="B845" s="18"/>
      <c r="C845" s="18"/>
      <c r="D845" s="18"/>
      <c r="E845" s="18"/>
      <c r="F845" s="18"/>
      <c r="G845" s="18"/>
      <c r="H845" s="18"/>
      <c r="I845" s="18">
        <v>500000</v>
      </c>
      <c r="J845" s="18"/>
      <c r="K845" s="18"/>
      <c r="L845" s="18"/>
      <c r="M845" s="18"/>
      <c r="N845" s="18">
        <v>500000</v>
      </c>
    </row>
    <row r="846" spans="1:14">
      <c r="A846" s="489" t="s">
        <v>1125</v>
      </c>
      <c r="B846" s="18"/>
      <c r="C846" s="18"/>
      <c r="D846" s="18"/>
      <c r="E846" s="18"/>
      <c r="F846" s="18"/>
      <c r="G846" s="18"/>
      <c r="H846" s="18"/>
      <c r="I846" s="18">
        <v>0</v>
      </c>
      <c r="J846" s="18"/>
      <c r="K846" s="18"/>
      <c r="L846" s="18"/>
      <c r="M846" s="18"/>
      <c r="N846" s="18">
        <v>0</v>
      </c>
    </row>
    <row r="847" spans="1:14">
      <c r="A847" s="489" t="s">
        <v>915</v>
      </c>
      <c r="B847" s="18"/>
      <c r="C847" s="18"/>
      <c r="D847" s="18"/>
      <c r="E847" s="18"/>
      <c r="F847" s="18"/>
      <c r="G847" s="18"/>
      <c r="H847" s="18"/>
      <c r="I847" s="18">
        <v>190000</v>
      </c>
      <c r="J847" s="18"/>
      <c r="K847" s="18"/>
      <c r="L847" s="18"/>
      <c r="M847" s="18"/>
      <c r="N847" s="18">
        <v>190000</v>
      </c>
    </row>
    <row r="848" spans="1:14">
      <c r="A848" s="347" t="s">
        <v>1840</v>
      </c>
      <c r="B848" s="18"/>
      <c r="C848" s="18"/>
      <c r="D848" s="18"/>
      <c r="E848" s="18"/>
      <c r="F848" s="18"/>
      <c r="G848" s="18"/>
      <c r="H848" s="18"/>
      <c r="I848" s="18">
        <v>1134685.53</v>
      </c>
      <c r="J848" s="18"/>
      <c r="K848" s="18"/>
      <c r="L848" s="18"/>
      <c r="M848" s="18"/>
      <c r="N848" s="18">
        <v>1134685.53</v>
      </c>
    </row>
    <row r="849" spans="1:14">
      <c r="A849" s="347" t="s">
        <v>1630</v>
      </c>
      <c r="B849" s="18"/>
      <c r="C849" s="18"/>
      <c r="D849" s="18"/>
      <c r="E849" s="18"/>
      <c r="F849" s="18"/>
      <c r="G849" s="18"/>
      <c r="H849" s="18"/>
      <c r="I849" s="18">
        <v>1900232.32</v>
      </c>
      <c r="J849" s="18"/>
      <c r="K849" s="18"/>
      <c r="L849" s="18"/>
      <c r="M849" s="18"/>
      <c r="N849" s="18">
        <v>1900232.32</v>
      </c>
    </row>
    <row r="850" spans="1:14">
      <c r="A850" s="347" t="s">
        <v>1420</v>
      </c>
      <c r="B850" s="18"/>
      <c r="C850" s="18"/>
      <c r="D850" s="18"/>
      <c r="E850" s="18"/>
      <c r="F850" s="18"/>
      <c r="G850" s="18"/>
      <c r="H850" s="18"/>
      <c r="I850" s="18">
        <v>500000</v>
      </c>
      <c r="J850" s="18"/>
      <c r="K850" s="18"/>
      <c r="L850" s="18"/>
      <c r="M850" s="18"/>
      <c r="N850" s="18">
        <v>500000</v>
      </c>
    </row>
    <row r="851" spans="1:14">
      <c r="A851" s="347" t="s">
        <v>1210</v>
      </c>
      <c r="B851" s="18"/>
      <c r="C851" s="18"/>
      <c r="D851" s="18"/>
      <c r="E851" s="18"/>
      <c r="F851" s="18"/>
      <c r="G851" s="18"/>
      <c r="H851" s="18"/>
      <c r="I851" s="18">
        <v>0</v>
      </c>
      <c r="J851" s="18"/>
      <c r="K851" s="18"/>
      <c r="L851" s="18"/>
      <c r="M851" s="18"/>
      <c r="N851" s="18">
        <v>0</v>
      </c>
    </row>
    <row r="852" spans="1:14">
      <c r="A852" s="347" t="s">
        <v>1000</v>
      </c>
      <c r="B852" s="18"/>
      <c r="C852" s="18"/>
      <c r="D852" s="18"/>
      <c r="E852" s="18"/>
      <c r="F852" s="18"/>
      <c r="G852" s="18"/>
      <c r="H852" s="18"/>
      <c r="I852" s="18">
        <v>190000</v>
      </c>
      <c r="J852" s="18"/>
      <c r="K852" s="18"/>
      <c r="L852" s="18"/>
      <c r="M852" s="18"/>
      <c r="N852" s="18">
        <v>190000</v>
      </c>
    </row>
    <row r="853" spans="1:14">
      <c r="A853" s="19" t="s">
        <v>1780</v>
      </c>
      <c r="B853" s="18"/>
      <c r="C853" s="18"/>
      <c r="D853" s="18"/>
      <c r="E853" s="18"/>
      <c r="F853" s="18"/>
      <c r="G853" s="18"/>
      <c r="H853" s="18"/>
      <c r="I853" s="18">
        <v>1134685.53</v>
      </c>
      <c r="J853" s="18"/>
      <c r="K853" s="18"/>
      <c r="L853" s="18"/>
      <c r="M853" s="18"/>
      <c r="N853" s="18">
        <v>1134685.53</v>
      </c>
    </row>
    <row r="854" spans="1:14">
      <c r="A854" s="19" t="s">
        <v>1570</v>
      </c>
      <c r="B854" s="18"/>
      <c r="C854" s="18"/>
      <c r="D854" s="18"/>
      <c r="E854" s="18"/>
      <c r="F854" s="18"/>
      <c r="G854" s="18"/>
      <c r="H854" s="18"/>
      <c r="I854" s="18">
        <v>1900232.32</v>
      </c>
      <c r="J854" s="18"/>
      <c r="K854" s="18"/>
      <c r="L854" s="18"/>
      <c r="M854" s="18"/>
      <c r="N854" s="18">
        <v>1900232.32</v>
      </c>
    </row>
    <row r="855" spans="1:14">
      <c r="A855" s="19" t="s">
        <v>1360</v>
      </c>
      <c r="B855" s="18"/>
      <c r="C855" s="18"/>
      <c r="D855" s="18"/>
      <c r="E855" s="18"/>
      <c r="F855" s="18"/>
      <c r="G855" s="18"/>
      <c r="H855" s="18"/>
      <c r="I855" s="18">
        <v>500000</v>
      </c>
      <c r="J855" s="18"/>
      <c r="K855" s="18"/>
      <c r="L855" s="18"/>
      <c r="M855" s="18"/>
      <c r="N855" s="18">
        <v>500000</v>
      </c>
    </row>
    <row r="856" spans="1:14">
      <c r="A856" s="19" t="s">
        <v>1150</v>
      </c>
      <c r="B856" s="18"/>
      <c r="C856" s="18"/>
      <c r="D856" s="18"/>
      <c r="E856" s="18"/>
      <c r="F856" s="18"/>
      <c r="G856" s="18"/>
      <c r="H856" s="18"/>
      <c r="I856" s="18">
        <v>0</v>
      </c>
      <c r="J856" s="18"/>
      <c r="K856" s="18"/>
      <c r="L856" s="18"/>
      <c r="M856" s="18"/>
      <c r="N856" s="18">
        <v>0</v>
      </c>
    </row>
    <row r="857" spans="1:14">
      <c r="A857" s="19" t="s">
        <v>940</v>
      </c>
      <c r="B857" s="18"/>
      <c r="C857" s="18"/>
      <c r="D857" s="18"/>
      <c r="E857" s="18"/>
      <c r="F857" s="18"/>
      <c r="G857" s="18"/>
      <c r="H857" s="18"/>
      <c r="I857" s="18">
        <v>190000</v>
      </c>
      <c r="J857" s="18"/>
      <c r="K857" s="18"/>
      <c r="L857" s="18"/>
      <c r="M857" s="18"/>
      <c r="N857" s="18">
        <v>190000</v>
      </c>
    </row>
    <row r="858" spans="1:14">
      <c r="A858" s="4" t="s">
        <v>1841</v>
      </c>
      <c r="B858" s="18"/>
      <c r="C858" s="18"/>
      <c r="D858" s="18"/>
      <c r="E858" s="18"/>
      <c r="F858" s="18"/>
      <c r="G858" s="18"/>
      <c r="H858" s="18"/>
      <c r="I858" s="18">
        <v>1134685.53</v>
      </c>
      <c r="J858" s="18"/>
      <c r="K858" s="18"/>
      <c r="L858" s="18"/>
      <c r="M858" s="18"/>
      <c r="N858" s="18">
        <v>1134685.53</v>
      </c>
    </row>
    <row r="859" spans="1:14">
      <c r="A859" s="4" t="s">
        <v>1631</v>
      </c>
      <c r="B859" s="18"/>
      <c r="C859" s="18"/>
      <c r="D859" s="18"/>
      <c r="E859" s="18"/>
      <c r="F859" s="18"/>
      <c r="G859" s="18"/>
      <c r="H859" s="18"/>
      <c r="I859" s="18">
        <v>1900232.32</v>
      </c>
      <c r="J859" s="18"/>
      <c r="K859" s="18"/>
      <c r="L859" s="18"/>
      <c r="M859" s="18"/>
      <c r="N859" s="18">
        <v>1900232.32</v>
      </c>
    </row>
    <row r="860" spans="1:14">
      <c r="A860" s="4" t="s">
        <v>1421</v>
      </c>
      <c r="B860" s="18"/>
      <c r="C860" s="18"/>
      <c r="D860" s="18"/>
      <c r="E860" s="18"/>
      <c r="F860" s="18"/>
      <c r="G860" s="18"/>
      <c r="H860" s="18"/>
      <c r="I860" s="18">
        <v>500000</v>
      </c>
      <c r="J860" s="18"/>
      <c r="K860" s="18"/>
      <c r="L860" s="18"/>
      <c r="M860" s="18"/>
      <c r="N860" s="18">
        <v>500000</v>
      </c>
    </row>
    <row r="861" spans="1:14">
      <c r="A861" s="4" t="s">
        <v>1211</v>
      </c>
      <c r="B861" s="18"/>
      <c r="C861" s="18"/>
      <c r="D861" s="18"/>
      <c r="E861" s="18"/>
      <c r="F861" s="18"/>
      <c r="G861" s="18"/>
      <c r="H861" s="18"/>
      <c r="I861" s="18">
        <v>0</v>
      </c>
      <c r="J861" s="18"/>
      <c r="K861" s="18"/>
      <c r="L861" s="18"/>
      <c r="M861" s="18"/>
      <c r="N861" s="18">
        <v>0</v>
      </c>
    </row>
    <row r="862" spans="1:14">
      <c r="A862" s="4" t="s">
        <v>1001</v>
      </c>
      <c r="B862" s="18"/>
      <c r="C862" s="18"/>
      <c r="D862" s="18"/>
      <c r="E862" s="18"/>
      <c r="F862" s="18"/>
      <c r="G862" s="18"/>
      <c r="H862" s="18"/>
      <c r="I862" s="18">
        <v>190000</v>
      </c>
      <c r="J862" s="18"/>
      <c r="K862" s="18"/>
      <c r="L862" s="18"/>
      <c r="M862" s="18"/>
      <c r="N862" s="18">
        <v>190000</v>
      </c>
    </row>
    <row r="863" spans="1:14">
      <c r="A863" s="4">
        <v>1169377</v>
      </c>
      <c r="B863" s="18"/>
      <c r="C863" s="18"/>
      <c r="D863" s="18"/>
      <c r="E863" s="18"/>
      <c r="F863" s="18"/>
      <c r="G863" s="18"/>
      <c r="H863" s="18"/>
      <c r="I863" s="18"/>
      <c r="J863" s="18"/>
      <c r="K863" s="18"/>
      <c r="L863" s="18"/>
      <c r="M863" s="18"/>
      <c r="N863" s="18"/>
    </row>
    <row r="864" spans="1:14">
      <c r="A864" s="19">
        <v>400000</v>
      </c>
      <c r="B864" s="18"/>
      <c r="C864" s="18"/>
      <c r="D864" s="18"/>
      <c r="E864" s="18"/>
      <c r="F864" s="18"/>
      <c r="G864" s="18"/>
      <c r="H864" s="18"/>
      <c r="I864" s="18"/>
      <c r="J864" s="18"/>
      <c r="K864" s="18"/>
      <c r="L864" s="18"/>
      <c r="M864" s="18"/>
      <c r="N864" s="18"/>
    </row>
    <row r="865" spans="1:14">
      <c r="A865" s="347">
        <v>2060772</v>
      </c>
      <c r="B865" s="18"/>
      <c r="C865" s="18"/>
      <c r="D865" s="18"/>
      <c r="E865" s="18"/>
      <c r="F865" s="18"/>
      <c r="G865" s="18"/>
      <c r="H865" s="18"/>
      <c r="I865" s="18"/>
      <c r="J865" s="18"/>
      <c r="K865" s="18"/>
      <c r="L865" s="18"/>
      <c r="M865" s="18"/>
      <c r="N865" s="18"/>
    </row>
    <row r="866" spans="1:14">
      <c r="A866" s="489" t="s">
        <v>733</v>
      </c>
      <c r="B866" s="18"/>
      <c r="C866" s="18"/>
      <c r="D866" s="18"/>
      <c r="E866" s="18"/>
      <c r="F866" s="18"/>
      <c r="G866" s="18"/>
      <c r="H866" s="18"/>
      <c r="I866" s="18"/>
      <c r="J866" s="18"/>
      <c r="K866" s="18"/>
      <c r="L866" s="18"/>
      <c r="M866" s="18"/>
      <c r="N866" s="18"/>
    </row>
    <row r="867" spans="1:14">
      <c r="A867" s="753" t="s">
        <v>733</v>
      </c>
      <c r="B867" s="18"/>
      <c r="C867" s="18"/>
      <c r="D867" s="18"/>
      <c r="E867" s="18"/>
      <c r="F867" s="18"/>
      <c r="G867" s="18"/>
      <c r="H867" s="18"/>
      <c r="I867" s="18"/>
      <c r="J867" s="18"/>
      <c r="K867" s="18"/>
      <c r="L867" s="18"/>
      <c r="M867" s="18"/>
      <c r="N867" s="18"/>
    </row>
    <row r="868" spans="1:14">
      <c r="A868" s="754" t="s">
        <v>898</v>
      </c>
      <c r="B868" s="18"/>
      <c r="C868" s="18"/>
      <c r="D868" s="18"/>
      <c r="E868" s="18"/>
      <c r="F868" s="18"/>
      <c r="G868" s="18"/>
      <c r="H868" s="18">
        <v>1169377</v>
      </c>
      <c r="I868" s="18"/>
      <c r="J868" s="18"/>
      <c r="K868" s="18"/>
      <c r="L868" s="18"/>
      <c r="M868" s="18"/>
      <c r="N868" s="18">
        <v>1169377</v>
      </c>
    </row>
    <row r="869" spans="1:14">
      <c r="A869" s="754" t="s">
        <v>901</v>
      </c>
      <c r="B869" s="18"/>
      <c r="C869" s="18"/>
      <c r="D869" s="18"/>
      <c r="E869" s="18"/>
      <c r="F869" s="18"/>
      <c r="G869" s="18"/>
      <c r="H869" s="18">
        <v>2060772</v>
      </c>
      <c r="I869" s="18"/>
      <c r="J869" s="18"/>
      <c r="K869" s="18"/>
      <c r="L869" s="18"/>
      <c r="M869" s="18"/>
      <c r="N869" s="18">
        <v>2060772</v>
      </c>
    </row>
    <row r="870" spans="1:14">
      <c r="A870" s="754" t="s">
        <v>903</v>
      </c>
      <c r="B870" s="18"/>
      <c r="C870" s="18"/>
      <c r="D870" s="18"/>
      <c r="E870" s="18"/>
      <c r="F870" s="18"/>
      <c r="G870" s="18"/>
      <c r="H870" s="18">
        <v>400000</v>
      </c>
      <c r="I870" s="18"/>
      <c r="J870" s="18"/>
      <c r="K870" s="18"/>
      <c r="L870" s="18"/>
      <c r="M870" s="18"/>
      <c r="N870" s="18">
        <v>400000</v>
      </c>
    </row>
    <row r="871" spans="1:14">
      <c r="A871" s="754" t="s">
        <v>905</v>
      </c>
      <c r="B871" s="18"/>
      <c r="C871" s="18"/>
      <c r="D871" s="18"/>
      <c r="E871" s="18"/>
      <c r="F871" s="18"/>
      <c r="G871" s="18"/>
      <c r="H871" s="18"/>
      <c r="I871" s="18"/>
      <c r="J871" s="18"/>
      <c r="K871" s="18"/>
      <c r="L871" s="18"/>
      <c r="M871" s="18"/>
      <c r="N871" s="18"/>
    </row>
    <row r="872" spans="1:14">
      <c r="A872" s="754" t="s">
        <v>174</v>
      </c>
      <c r="B872" s="18"/>
      <c r="C872" s="18"/>
      <c r="D872" s="18"/>
      <c r="E872" s="18"/>
      <c r="F872" s="18"/>
      <c r="G872" s="18"/>
      <c r="H872" s="18"/>
      <c r="I872" s="18"/>
      <c r="J872" s="18"/>
      <c r="K872" s="18"/>
      <c r="L872" s="18"/>
      <c r="M872" s="18"/>
      <c r="N872" s="18"/>
    </row>
    <row r="873" spans="1:14">
      <c r="A873" s="489" t="s">
        <v>1750</v>
      </c>
      <c r="B873" s="18"/>
      <c r="C873" s="18"/>
      <c r="D873" s="18"/>
      <c r="E873" s="18"/>
      <c r="F873" s="18"/>
      <c r="G873" s="18"/>
      <c r="H873" s="18">
        <v>1169377</v>
      </c>
      <c r="I873" s="18"/>
      <c r="J873" s="18"/>
      <c r="K873" s="18"/>
      <c r="L873" s="18"/>
      <c r="M873" s="18"/>
      <c r="N873" s="18">
        <v>1169377</v>
      </c>
    </row>
    <row r="874" spans="1:14">
      <c r="A874" s="489" t="s">
        <v>1540</v>
      </c>
      <c r="B874" s="18"/>
      <c r="C874" s="18"/>
      <c r="D874" s="18"/>
      <c r="E874" s="18"/>
      <c r="F874" s="18"/>
      <c r="G874" s="18"/>
      <c r="H874" s="18">
        <v>2060772</v>
      </c>
      <c r="I874" s="18"/>
      <c r="J874" s="18"/>
      <c r="K874" s="18"/>
      <c r="L874" s="18"/>
      <c r="M874" s="18"/>
      <c r="N874" s="18">
        <v>2060772</v>
      </c>
    </row>
    <row r="875" spans="1:14">
      <c r="A875" s="489" t="s">
        <v>1330</v>
      </c>
      <c r="B875" s="18"/>
      <c r="C875" s="18"/>
      <c r="D875" s="18"/>
      <c r="E875" s="18"/>
      <c r="F875" s="18"/>
      <c r="G875" s="18"/>
      <c r="H875" s="18">
        <v>400000</v>
      </c>
      <c r="I875" s="18"/>
      <c r="J875" s="18"/>
      <c r="K875" s="18"/>
      <c r="L875" s="18"/>
      <c r="M875" s="18"/>
      <c r="N875" s="18">
        <v>400000</v>
      </c>
    </row>
    <row r="876" spans="1:14">
      <c r="A876" s="489" t="s">
        <v>1120</v>
      </c>
      <c r="B876" s="18"/>
      <c r="C876" s="18"/>
      <c r="D876" s="18"/>
      <c r="E876" s="18"/>
      <c r="F876" s="18"/>
      <c r="G876" s="18"/>
      <c r="H876" s="18"/>
      <c r="I876" s="18"/>
      <c r="J876" s="18"/>
      <c r="K876" s="18"/>
      <c r="L876" s="18"/>
      <c r="M876" s="18"/>
      <c r="N876" s="18"/>
    </row>
    <row r="877" spans="1:14">
      <c r="A877" s="489" t="s">
        <v>910</v>
      </c>
      <c r="B877" s="18"/>
      <c r="C877" s="18"/>
      <c r="D877" s="18"/>
      <c r="E877" s="18"/>
      <c r="F877" s="18"/>
      <c r="G877" s="18"/>
      <c r="H877" s="18"/>
      <c r="I877" s="18"/>
      <c r="J877" s="18"/>
      <c r="K877" s="18"/>
      <c r="L877" s="18"/>
      <c r="M877" s="18"/>
      <c r="N877" s="18"/>
    </row>
    <row r="878" spans="1:14">
      <c r="A878" s="347" t="s">
        <v>1842</v>
      </c>
      <c r="B878" s="18"/>
      <c r="C878" s="18"/>
      <c r="D878" s="18"/>
      <c r="E878" s="18"/>
      <c r="F878" s="18"/>
      <c r="G878" s="18"/>
      <c r="H878" s="18">
        <v>1169377</v>
      </c>
      <c r="I878" s="18"/>
      <c r="J878" s="18"/>
      <c r="K878" s="18"/>
      <c r="L878" s="18"/>
      <c r="M878" s="18"/>
      <c r="N878" s="18">
        <v>1169377</v>
      </c>
    </row>
    <row r="879" spans="1:14">
      <c r="A879" s="347" t="s">
        <v>1632</v>
      </c>
      <c r="B879" s="18"/>
      <c r="C879" s="18"/>
      <c r="D879" s="18"/>
      <c r="E879" s="18"/>
      <c r="F879" s="18"/>
      <c r="G879" s="18"/>
      <c r="H879" s="18">
        <v>2060772</v>
      </c>
      <c r="I879" s="18"/>
      <c r="J879" s="18"/>
      <c r="K879" s="18"/>
      <c r="L879" s="18"/>
      <c r="M879" s="18"/>
      <c r="N879" s="18">
        <v>2060772</v>
      </c>
    </row>
    <row r="880" spans="1:14">
      <c r="A880" s="347" t="s">
        <v>1422</v>
      </c>
      <c r="B880" s="18"/>
      <c r="C880" s="18"/>
      <c r="D880" s="18"/>
      <c r="E880" s="18"/>
      <c r="F880" s="18"/>
      <c r="G880" s="18"/>
      <c r="H880" s="18">
        <v>400000</v>
      </c>
      <c r="I880" s="18"/>
      <c r="J880" s="18"/>
      <c r="K880" s="18"/>
      <c r="L880" s="18"/>
      <c r="M880" s="18"/>
      <c r="N880" s="18">
        <v>400000</v>
      </c>
    </row>
    <row r="881" spans="1:14">
      <c r="A881" s="347" t="s">
        <v>1212</v>
      </c>
      <c r="B881" s="18"/>
      <c r="C881" s="18"/>
      <c r="D881" s="18"/>
      <c r="E881" s="18"/>
      <c r="F881" s="18"/>
      <c r="G881" s="18"/>
      <c r="H881" s="18"/>
      <c r="I881" s="18"/>
      <c r="J881" s="18"/>
      <c r="K881" s="18"/>
      <c r="L881" s="18"/>
      <c r="M881" s="18"/>
      <c r="N881" s="18"/>
    </row>
    <row r="882" spans="1:14">
      <c r="A882" s="347" t="s">
        <v>1002</v>
      </c>
      <c r="B882" s="18"/>
      <c r="C882" s="18"/>
      <c r="D882" s="18"/>
      <c r="E882" s="18"/>
      <c r="F882" s="18"/>
      <c r="G882" s="18"/>
      <c r="H882" s="18"/>
      <c r="I882" s="18"/>
      <c r="J882" s="18"/>
      <c r="K882" s="18"/>
      <c r="L882" s="18"/>
      <c r="M882" s="18"/>
      <c r="N882" s="18"/>
    </row>
    <row r="883" spans="1:14">
      <c r="A883" s="19" t="s">
        <v>1801</v>
      </c>
      <c r="B883" s="18"/>
      <c r="C883" s="18"/>
      <c r="D883" s="18"/>
      <c r="E883" s="18"/>
      <c r="F883" s="18"/>
      <c r="G883" s="18"/>
      <c r="H883" s="18">
        <v>1169377</v>
      </c>
      <c r="I883" s="18"/>
      <c r="J883" s="18"/>
      <c r="K883" s="18"/>
      <c r="L883" s="18"/>
      <c r="M883" s="18"/>
      <c r="N883" s="18">
        <v>1169377</v>
      </c>
    </row>
    <row r="884" spans="1:14">
      <c r="A884" s="19" t="s">
        <v>1591</v>
      </c>
      <c r="B884" s="18"/>
      <c r="C884" s="18"/>
      <c r="D884" s="18"/>
      <c r="E884" s="18"/>
      <c r="F884" s="18"/>
      <c r="G884" s="18"/>
      <c r="H884" s="18">
        <v>2060772</v>
      </c>
      <c r="I884" s="18"/>
      <c r="J884" s="18"/>
      <c r="K884" s="18"/>
      <c r="L884" s="18"/>
      <c r="M884" s="18"/>
      <c r="N884" s="18">
        <v>2060772</v>
      </c>
    </row>
    <row r="885" spans="1:14">
      <c r="A885" s="19" t="s">
        <v>1381</v>
      </c>
      <c r="B885" s="18"/>
      <c r="C885" s="18"/>
      <c r="D885" s="18"/>
      <c r="E885" s="18"/>
      <c r="F885" s="18"/>
      <c r="G885" s="18"/>
      <c r="H885" s="18">
        <v>400000</v>
      </c>
      <c r="I885" s="18"/>
      <c r="J885" s="18"/>
      <c r="K885" s="18"/>
      <c r="L885" s="18"/>
      <c r="M885" s="18"/>
      <c r="N885" s="18">
        <v>400000</v>
      </c>
    </row>
    <row r="886" spans="1:14">
      <c r="A886" s="19" t="s">
        <v>1171</v>
      </c>
      <c r="B886" s="18"/>
      <c r="C886" s="18"/>
      <c r="D886" s="18"/>
      <c r="E886" s="18"/>
      <c r="F886" s="18"/>
      <c r="G886" s="18"/>
      <c r="H886" s="18"/>
      <c r="I886" s="18"/>
      <c r="J886" s="18"/>
      <c r="K886" s="18"/>
      <c r="L886" s="18"/>
      <c r="M886" s="18"/>
      <c r="N886" s="18"/>
    </row>
    <row r="887" spans="1:14">
      <c r="A887" s="19" t="s">
        <v>961</v>
      </c>
      <c r="B887" s="18"/>
      <c r="C887" s="18"/>
      <c r="D887" s="18"/>
      <c r="E887" s="18"/>
      <c r="F887" s="18"/>
      <c r="G887" s="18"/>
      <c r="H887" s="18"/>
      <c r="I887" s="18"/>
      <c r="J887" s="18"/>
      <c r="K887" s="18"/>
      <c r="L887" s="18"/>
      <c r="M887" s="18"/>
      <c r="N887" s="18"/>
    </row>
    <row r="888" spans="1:14">
      <c r="A888" s="4" t="s">
        <v>1843</v>
      </c>
      <c r="B888" s="18"/>
      <c r="C888" s="18"/>
      <c r="D888" s="18"/>
      <c r="E888" s="18"/>
      <c r="F888" s="18"/>
      <c r="G888" s="18"/>
      <c r="H888" s="18">
        <v>1169377</v>
      </c>
      <c r="I888" s="18"/>
      <c r="J888" s="18"/>
      <c r="K888" s="18"/>
      <c r="L888" s="18"/>
      <c r="M888" s="18"/>
      <c r="N888" s="18">
        <v>1169377</v>
      </c>
    </row>
    <row r="889" spans="1:14">
      <c r="A889" s="4" t="s">
        <v>1633</v>
      </c>
      <c r="B889" s="18"/>
      <c r="C889" s="18"/>
      <c r="D889" s="18"/>
      <c r="E889" s="18"/>
      <c r="F889" s="18"/>
      <c r="G889" s="18"/>
      <c r="H889" s="18">
        <v>2060772</v>
      </c>
      <c r="I889" s="18"/>
      <c r="J889" s="18"/>
      <c r="K889" s="18"/>
      <c r="L889" s="18"/>
      <c r="M889" s="18"/>
      <c r="N889" s="18">
        <v>2060772</v>
      </c>
    </row>
    <row r="890" spans="1:14">
      <c r="A890" s="4" t="s">
        <v>1423</v>
      </c>
      <c r="B890" s="18"/>
      <c r="C890" s="18"/>
      <c r="D890" s="18"/>
      <c r="E890" s="18"/>
      <c r="F890" s="18"/>
      <c r="G890" s="18"/>
      <c r="H890" s="18">
        <v>400000</v>
      </c>
      <c r="I890" s="18"/>
      <c r="J890" s="18"/>
      <c r="K890" s="18"/>
      <c r="L890" s="18"/>
      <c r="M890" s="18"/>
      <c r="N890" s="18">
        <v>400000</v>
      </c>
    </row>
    <row r="891" spans="1:14">
      <c r="A891" s="4" t="s">
        <v>1213</v>
      </c>
      <c r="B891" s="18"/>
      <c r="C891" s="18"/>
      <c r="D891" s="18"/>
      <c r="E891" s="18"/>
      <c r="F891" s="18"/>
      <c r="G891" s="18"/>
      <c r="H891" s="18"/>
      <c r="I891" s="18"/>
      <c r="J891" s="18"/>
      <c r="K891" s="18"/>
      <c r="L891" s="18"/>
      <c r="M891" s="18"/>
      <c r="N891" s="18"/>
    </row>
    <row r="892" spans="1:14">
      <c r="A892" s="4" t="s">
        <v>1003</v>
      </c>
      <c r="B892" s="18"/>
      <c r="C892" s="18"/>
      <c r="D892" s="18"/>
      <c r="E892" s="18"/>
      <c r="F892" s="18"/>
      <c r="G892" s="18"/>
      <c r="H892" s="18"/>
      <c r="I892" s="18"/>
      <c r="J892" s="18"/>
      <c r="K892" s="18"/>
      <c r="L892" s="18"/>
      <c r="M892" s="18"/>
      <c r="N892" s="18"/>
    </row>
    <row r="893" spans="1:14">
      <c r="A893" s="4">
        <v>1181624</v>
      </c>
      <c r="B893" s="18"/>
      <c r="C893" s="18"/>
      <c r="D893" s="18"/>
      <c r="E893" s="18"/>
      <c r="F893" s="18"/>
      <c r="G893" s="18"/>
      <c r="H893" s="18"/>
      <c r="I893" s="18"/>
      <c r="J893" s="18"/>
      <c r="K893" s="18"/>
      <c r="L893" s="18"/>
      <c r="M893" s="18"/>
      <c r="N893" s="18"/>
    </row>
    <row r="894" spans="1:14">
      <c r="A894" s="19">
        <v>700000</v>
      </c>
      <c r="B894" s="18"/>
      <c r="C894" s="18"/>
      <c r="D894" s="18"/>
      <c r="E894" s="18"/>
      <c r="F894" s="18"/>
      <c r="G894" s="18"/>
      <c r="H894" s="18"/>
      <c r="I894" s="18"/>
      <c r="J894" s="18"/>
      <c r="K894" s="18"/>
      <c r="L894" s="18"/>
      <c r="M894" s="18"/>
      <c r="N894" s="18"/>
    </row>
    <row r="895" spans="1:14">
      <c r="A895" s="347">
        <v>1973763</v>
      </c>
      <c r="B895" s="18"/>
      <c r="C895" s="18"/>
      <c r="D895" s="18"/>
      <c r="E895" s="18"/>
      <c r="F895" s="18"/>
      <c r="G895" s="18"/>
      <c r="H895" s="18"/>
      <c r="I895" s="18"/>
      <c r="J895" s="18"/>
      <c r="K895" s="18"/>
      <c r="L895" s="18"/>
      <c r="M895" s="18"/>
      <c r="N895" s="18"/>
    </row>
    <row r="896" spans="1:14">
      <c r="A896" s="489" t="s">
        <v>733</v>
      </c>
      <c r="B896" s="18"/>
      <c r="C896" s="18"/>
      <c r="D896" s="18"/>
      <c r="E896" s="18"/>
      <c r="F896" s="18"/>
      <c r="G896" s="18"/>
      <c r="H896" s="18"/>
      <c r="I896" s="18"/>
      <c r="J896" s="18"/>
      <c r="K896" s="18"/>
      <c r="L896" s="18"/>
      <c r="M896" s="18"/>
      <c r="N896" s="18"/>
    </row>
    <row r="897" spans="1:14">
      <c r="A897" s="753" t="s">
        <v>733</v>
      </c>
      <c r="B897" s="18"/>
      <c r="C897" s="18"/>
      <c r="D897" s="18"/>
      <c r="E897" s="18"/>
      <c r="F897" s="18"/>
      <c r="G897" s="18"/>
      <c r="H897" s="18"/>
      <c r="I897" s="18"/>
      <c r="J897" s="18"/>
      <c r="K897" s="18"/>
      <c r="L897" s="18"/>
      <c r="M897" s="18"/>
      <c r="N897" s="18"/>
    </row>
    <row r="898" spans="1:14">
      <c r="A898" s="754" t="s">
        <v>898</v>
      </c>
      <c r="B898" s="18"/>
      <c r="C898" s="18"/>
      <c r="D898" s="18"/>
      <c r="E898" s="18"/>
      <c r="F898" s="18"/>
      <c r="G898" s="18"/>
      <c r="H898" s="18"/>
      <c r="I898" s="18">
        <v>1181624</v>
      </c>
      <c r="J898" s="18"/>
      <c r="K898" s="18"/>
      <c r="L898" s="18"/>
      <c r="M898" s="18"/>
      <c r="N898" s="18">
        <v>1181624</v>
      </c>
    </row>
    <row r="899" spans="1:14">
      <c r="A899" s="754" t="s">
        <v>901</v>
      </c>
      <c r="B899" s="18"/>
      <c r="C899" s="18"/>
      <c r="D899" s="18"/>
      <c r="E899" s="18"/>
      <c r="F899" s="18"/>
      <c r="G899" s="18"/>
      <c r="H899" s="18"/>
      <c r="I899" s="18">
        <v>1973763</v>
      </c>
      <c r="J899" s="18"/>
      <c r="K899" s="18"/>
      <c r="L899" s="18"/>
      <c r="M899" s="18"/>
      <c r="N899" s="18">
        <v>1973763</v>
      </c>
    </row>
    <row r="900" spans="1:14">
      <c r="A900" s="754" t="s">
        <v>903</v>
      </c>
      <c r="B900" s="18"/>
      <c r="C900" s="18"/>
      <c r="D900" s="18"/>
      <c r="E900" s="18"/>
      <c r="F900" s="18"/>
      <c r="G900" s="18"/>
      <c r="H900" s="18"/>
      <c r="I900" s="18">
        <v>700000</v>
      </c>
      <c r="J900" s="18"/>
      <c r="K900" s="18"/>
      <c r="L900" s="18"/>
      <c r="M900" s="18"/>
      <c r="N900" s="18">
        <v>700000</v>
      </c>
    </row>
    <row r="901" spans="1:14">
      <c r="A901" s="754" t="s">
        <v>905</v>
      </c>
      <c r="B901" s="18"/>
      <c r="C901" s="18"/>
      <c r="D901" s="18"/>
      <c r="E901" s="18"/>
      <c r="F901" s="18"/>
      <c r="G901" s="18"/>
      <c r="H901" s="18"/>
      <c r="I901" s="18"/>
      <c r="J901" s="18"/>
      <c r="K901" s="18"/>
      <c r="L901" s="18"/>
      <c r="M901" s="18"/>
      <c r="N901" s="18"/>
    </row>
    <row r="902" spans="1:14">
      <c r="A902" s="754" t="s">
        <v>174</v>
      </c>
      <c r="B902" s="18"/>
      <c r="C902" s="18"/>
      <c r="D902" s="18"/>
      <c r="E902" s="18"/>
      <c r="F902" s="18"/>
      <c r="G902" s="18"/>
      <c r="H902" s="18"/>
      <c r="I902" s="18"/>
      <c r="J902" s="18"/>
      <c r="K902" s="18"/>
      <c r="L902" s="18"/>
      <c r="M902" s="18"/>
      <c r="N902" s="18"/>
    </row>
    <row r="903" spans="1:14">
      <c r="A903" s="489" t="s">
        <v>1750</v>
      </c>
      <c r="B903" s="18"/>
      <c r="C903" s="18"/>
      <c r="D903" s="18"/>
      <c r="E903" s="18"/>
      <c r="F903" s="18"/>
      <c r="G903" s="18"/>
      <c r="H903" s="18"/>
      <c r="I903" s="18">
        <v>1181624</v>
      </c>
      <c r="J903" s="18"/>
      <c r="K903" s="18"/>
      <c r="L903" s="18"/>
      <c r="M903" s="18"/>
      <c r="N903" s="18">
        <v>1181624</v>
      </c>
    </row>
    <row r="904" spans="1:14">
      <c r="A904" s="489" t="s">
        <v>1540</v>
      </c>
      <c r="B904" s="18"/>
      <c r="C904" s="18"/>
      <c r="D904" s="18"/>
      <c r="E904" s="18"/>
      <c r="F904" s="18"/>
      <c r="G904" s="18"/>
      <c r="H904" s="18"/>
      <c r="I904" s="18">
        <v>1973763</v>
      </c>
      <c r="J904" s="18"/>
      <c r="K904" s="18"/>
      <c r="L904" s="18"/>
      <c r="M904" s="18"/>
      <c r="N904" s="18">
        <v>1973763</v>
      </c>
    </row>
    <row r="905" spans="1:14">
      <c r="A905" s="489" t="s">
        <v>1330</v>
      </c>
      <c r="B905" s="18"/>
      <c r="C905" s="18"/>
      <c r="D905" s="18"/>
      <c r="E905" s="18"/>
      <c r="F905" s="18"/>
      <c r="G905" s="18"/>
      <c r="H905" s="18"/>
      <c r="I905" s="18">
        <v>700000</v>
      </c>
      <c r="J905" s="18"/>
      <c r="K905" s="18"/>
      <c r="L905" s="18"/>
      <c r="M905" s="18"/>
      <c r="N905" s="18">
        <v>700000</v>
      </c>
    </row>
    <row r="906" spans="1:14">
      <c r="A906" s="489" t="s">
        <v>1120</v>
      </c>
      <c r="B906" s="18"/>
      <c r="C906" s="18"/>
      <c r="D906" s="18"/>
      <c r="E906" s="18"/>
      <c r="F906" s="18"/>
      <c r="G906" s="18"/>
      <c r="H906" s="18"/>
      <c r="I906" s="18"/>
      <c r="J906" s="18"/>
      <c r="K906" s="18"/>
      <c r="L906" s="18"/>
      <c r="M906" s="18"/>
      <c r="N906" s="18"/>
    </row>
    <row r="907" spans="1:14">
      <c r="A907" s="489" t="s">
        <v>910</v>
      </c>
      <c r="B907" s="18"/>
      <c r="C907" s="18"/>
      <c r="D907" s="18"/>
      <c r="E907" s="18"/>
      <c r="F907" s="18"/>
      <c r="G907" s="18"/>
      <c r="H907" s="18"/>
      <c r="I907" s="18"/>
      <c r="J907" s="18"/>
      <c r="K907" s="18"/>
      <c r="L907" s="18"/>
      <c r="M907" s="18"/>
      <c r="N907" s="18"/>
    </row>
    <row r="908" spans="1:14">
      <c r="A908" s="347" t="s">
        <v>1844</v>
      </c>
      <c r="B908" s="18"/>
      <c r="C908" s="18"/>
      <c r="D908" s="18"/>
      <c r="E908" s="18"/>
      <c r="F908" s="18"/>
      <c r="G908" s="18"/>
      <c r="H908" s="18"/>
      <c r="I908" s="18">
        <v>1181624</v>
      </c>
      <c r="J908" s="18"/>
      <c r="K908" s="18"/>
      <c r="L908" s="18"/>
      <c r="M908" s="18"/>
      <c r="N908" s="18">
        <v>1181624</v>
      </c>
    </row>
    <row r="909" spans="1:14">
      <c r="A909" s="347" t="s">
        <v>1634</v>
      </c>
      <c r="B909" s="18"/>
      <c r="C909" s="18"/>
      <c r="D909" s="18"/>
      <c r="E909" s="18"/>
      <c r="F909" s="18"/>
      <c r="G909" s="18"/>
      <c r="H909" s="18"/>
      <c r="I909" s="18">
        <v>1973763</v>
      </c>
      <c r="J909" s="18"/>
      <c r="K909" s="18"/>
      <c r="L909" s="18"/>
      <c r="M909" s="18"/>
      <c r="N909" s="18">
        <v>1973763</v>
      </c>
    </row>
    <row r="910" spans="1:14">
      <c r="A910" s="347" t="s">
        <v>1424</v>
      </c>
      <c r="B910" s="18"/>
      <c r="C910" s="18"/>
      <c r="D910" s="18"/>
      <c r="E910" s="18"/>
      <c r="F910" s="18"/>
      <c r="G910" s="18"/>
      <c r="H910" s="18"/>
      <c r="I910" s="18">
        <v>700000</v>
      </c>
      <c r="J910" s="18"/>
      <c r="K910" s="18"/>
      <c r="L910" s="18"/>
      <c r="M910" s="18"/>
      <c r="N910" s="18">
        <v>700000</v>
      </c>
    </row>
    <row r="911" spans="1:14">
      <c r="A911" s="347" t="s">
        <v>1214</v>
      </c>
      <c r="B911" s="18"/>
      <c r="C911" s="18"/>
      <c r="D911" s="18"/>
      <c r="E911" s="18"/>
      <c r="F911" s="18"/>
      <c r="G911" s="18"/>
      <c r="H911" s="18"/>
      <c r="I911" s="18"/>
      <c r="J911" s="18"/>
      <c r="K911" s="18"/>
      <c r="L911" s="18"/>
      <c r="M911" s="18"/>
      <c r="N911" s="18"/>
    </row>
    <row r="912" spans="1:14">
      <c r="A912" s="347" t="s">
        <v>1004</v>
      </c>
      <c r="B912" s="18"/>
      <c r="C912" s="18"/>
      <c r="D912" s="18"/>
      <c r="E912" s="18"/>
      <c r="F912" s="18"/>
      <c r="G912" s="18"/>
      <c r="H912" s="18"/>
      <c r="I912" s="18"/>
      <c r="J912" s="18"/>
      <c r="K912" s="18"/>
      <c r="L912" s="18"/>
      <c r="M912" s="18"/>
      <c r="N912" s="18"/>
    </row>
    <row r="913" spans="1:14">
      <c r="A913" s="19" t="s">
        <v>1845</v>
      </c>
      <c r="B913" s="18"/>
      <c r="C913" s="18"/>
      <c r="D913" s="18"/>
      <c r="E913" s="18"/>
      <c r="F913" s="18"/>
      <c r="G913" s="18"/>
      <c r="H913" s="18"/>
      <c r="I913" s="18">
        <v>1181624</v>
      </c>
      <c r="J913" s="18"/>
      <c r="K913" s="18"/>
      <c r="L913" s="18"/>
      <c r="M913" s="18"/>
      <c r="N913" s="18">
        <v>1181624</v>
      </c>
    </row>
    <row r="914" spans="1:14">
      <c r="A914" s="19" t="s">
        <v>1635</v>
      </c>
      <c r="B914" s="18"/>
      <c r="C914" s="18"/>
      <c r="D914" s="18"/>
      <c r="E914" s="18"/>
      <c r="F914" s="18"/>
      <c r="G914" s="18"/>
      <c r="H914" s="18"/>
      <c r="I914" s="18">
        <v>1973763</v>
      </c>
      <c r="J914" s="18"/>
      <c r="K914" s="18"/>
      <c r="L914" s="18"/>
      <c r="M914" s="18"/>
      <c r="N914" s="18">
        <v>1973763</v>
      </c>
    </row>
    <row r="915" spans="1:14">
      <c r="A915" s="19" t="s">
        <v>1425</v>
      </c>
      <c r="B915" s="18"/>
      <c r="C915" s="18"/>
      <c r="D915" s="18"/>
      <c r="E915" s="18"/>
      <c r="F915" s="18"/>
      <c r="G915" s="18"/>
      <c r="H915" s="18"/>
      <c r="I915" s="18">
        <v>700000</v>
      </c>
      <c r="J915" s="18"/>
      <c r="K915" s="18"/>
      <c r="L915" s="18"/>
      <c r="M915" s="18"/>
      <c r="N915" s="18">
        <v>700000</v>
      </c>
    </row>
    <row r="916" spans="1:14">
      <c r="A916" s="19" t="s">
        <v>1215</v>
      </c>
      <c r="B916" s="18"/>
      <c r="C916" s="18"/>
      <c r="D916" s="18"/>
      <c r="E916" s="18"/>
      <c r="F916" s="18"/>
      <c r="G916" s="18"/>
      <c r="H916" s="18"/>
      <c r="I916" s="18"/>
      <c r="J916" s="18"/>
      <c r="K916" s="18"/>
      <c r="L916" s="18"/>
      <c r="M916" s="18"/>
      <c r="N916" s="18"/>
    </row>
    <row r="917" spans="1:14">
      <c r="A917" s="19" t="s">
        <v>1005</v>
      </c>
      <c r="B917" s="18"/>
      <c r="C917" s="18"/>
      <c r="D917" s="18"/>
      <c r="E917" s="18"/>
      <c r="F917" s="18"/>
      <c r="G917" s="18"/>
      <c r="H917" s="18"/>
      <c r="I917" s="18"/>
      <c r="J917" s="18"/>
      <c r="K917" s="18"/>
      <c r="L917" s="18"/>
      <c r="M917" s="18"/>
      <c r="N917" s="18"/>
    </row>
    <row r="918" spans="1:14">
      <c r="A918" s="4" t="s">
        <v>1846</v>
      </c>
      <c r="B918" s="18"/>
      <c r="C918" s="18"/>
      <c r="D918" s="18"/>
      <c r="E918" s="18"/>
      <c r="F918" s="18"/>
      <c r="G918" s="18"/>
      <c r="H918" s="18"/>
      <c r="I918" s="18">
        <v>1181624</v>
      </c>
      <c r="J918" s="18"/>
      <c r="K918" s="18"/>
      <c r="L918" s="18"/>
      <c r="M918" s="18"/>
      <c r="N918" s="18">
        <v>1181624</v>
      </c>
    </row>
    <row r="919" spans="1:14">
      <c r="A919" s="4" t="s">
        <v>1636</v>
      </c>
      <c r="B919" s="18"/>
      <c r="C919" s="18"/>
      <c r="D919" s="18"/>
      <c r="E919" s="18"/>
      <c r="F919" s="18"/>
      <c r="G919" s="18"/>
      <c r="H919" s="18"/>
      <c r="I919" s="18">
        <v>1973763</v>
      </c>
      <c r="J919" s="18"/>
      <c r="K919" s="18"/>
      <c r="L919" s="18"/>
      <c r="M919" s="18"/>
      <c r="N919" s="18">
        <v>1973763</v>
      </c>
    </row>
    <row r="920" spans="1:14">
      <c r="A920" s="4" t="s">
        <v>1426</v>
      </c>
      <c r="B920" s="18"/>
      <c r="C920" s="18"/>
      <c r="D920" s="18"/>
      <c r="E920" s="18"/>
      <c r="F920" s="18"/>
      <c r="G920" s="18"/>
      <c r="H920" s="18"/>
      <c r="I920" s="18">
        <v>700000</v>
      </c>
      <c r="J920" s="18"/>
      <c r="K920" s="18"/>
      <c r="L920" s="18"/>
      <c r="M920" s="18"/>
      <c r="N920" s="18">
        <v>700000</v>
      </c>
    </row>
    <row r="921" spans="1:14">
      <c r="A921" s="4" t="s">
        <v>1216</v>
      </c>
      <c r="B921" s="18"/>
      <c r="C921" s="18"/>
      <c r="D921" s="18"/>
      <c r="E921" s="18"/>
      <c r="F921" s="18"/>
      <c r="G921" s="18"/>
      <c r="H921" s="18"/>
      <c r="I921" s="18"/>
      <c r="J921" s="18"/>
      <c r="K921" s="18"/>
      <c r="L921" s="18"/>
      <c r="M921" s="18"/>
      <c r="N921" s="18"/>
    </row>
    <row r="922" spans="1:14">
      <c r="A922" s="4" t="s">
        <v>1006</v>
      </c>
      <c r="B922" s="18"/>
      <c r="C922" s="18"/>
      <c r="D922" s="18"/>
      <c r="E922" s="18"/>
      <c r="F922" s="18"/>
      <c r="G922" s="18"/>
      <c r="H922" s="18"/>
      <c r="I922" s="18"/>
      <c r="J922" s="18"/>
      <c r="K922" s="18"/>
      <c r="L922" s="18"/>
      <c r="M922" s="18"/>
      <c r="N922" s="18"/>
    </row>
    <row r="923" spans="1:14">
      <c r="A923" s="4">
        <v>1191366</v>
      </c>
      <c r="B923" s="18"/>
      <c r="C923" s="18"/>
      <c r="D923" s="18"/>
      <c r="E923" s="18"/>
      <c r="F923" s="18"/>
      <c r="G923" s="18"/>
      <c r="H923" s="18"/>
      <c r="I923" s="18"/>
      <c r="J923" s="18"/>
      <c r="K923" s="18"/>
      <c r="L923" s="18"/>
      <c r="M923" s="18"/>
      <c r="N923" s="18"/>
    </row>
    <row r="924" spans="1:14">
      <c r="A924" s="19">
        <v>239587</v>
      </c>
      <c r="B924" s="18"/>
      <c r="C924" s="18"/>
      <c r="D924" s="18"/>
      <c r="E924" s="18"/>
      <c r="F924" s="18"/>
      <c r="G924" s="18"/>
      <c r="H924" s="18"/>
      <c r="I924" s="18"/>
      <c r="J924" s="18"/>
      <c r="K924" s="18"/>
      <c r="L924" s="18"/>
      <c r="M924" s="18"/>
      <c r="N924" s="18"/>
    </row>
    <row r="925" spans="1:14">
      <c r="A925" s="347">
        <v>2593661</v>
      </c>
      <c r="B925" s="18"/>
      <c r="C925" s="18"/>
      <c r="D925" s="18"/>
      <c r="E925" s="18"/>
      <c r="F925" s="18"/>
      <c r="G925" s="18"/>
      <c r="H925" s="18"/>
      <c r="I925" s="18"/>
      <c r="J925" s="18"/>
      <c r="K925" s="18"/>
      <c r="L925" s="18"/>
      <c r="M925" s="18"/>
      <c r="N925" s="18"/>
    </row>
    <row r="926" spans="1:14">
      <c r="A926" s="489">
        <v>0</v>
      </c>
      <c r="B926" s="18"/>
      <c r="C926" s="18"/>
      <c r="D926" s="18"/>
      <c r="E926" s="18"/>
      <c r="F926" s="18"/>
      <c r="G926" s="18"/>
      <c r="H926" s="18"/>
      <c r="I926" s="18"/>
      <c r="J926" s="18"/>
      <c r="K926" s="18"/>
      <c r="L926" s="18"/>
      <c r="M926" s="18"/>
      <c r="N926" s="18"/>
    </row>
    <row r="927" spans="1:14">
      <c r="A927" s="753">
        <v>0</v>
      </c>
      <c r="B927" s="18"/>
      <c r="C927" s="18"/>
      <c r="D927" s="18"/>
      <c r="E927" s="18"/>
      <c r="F927" s="18"/>
      <c r="G927" s="18"/>
      <c r="H927" s="18"/>
      <c r="I927" s="18"/>
      <c r="J927" s="18"/>
      <c r="K927" s="18"/>
      <c r="L927" s="18"/>
      <c r="M927" s="18"/>
      <c r="N927" s="18"/>
    </row>
    <row r="928" spans="1:14">
      <c r="A928" s="754" t="s">
        <v>898</v>
      </c>
      <c r="B928" s="18"/>
      <c r="C928" s="18">
        <v>1191366</v>
      </c>
      <c r="D928" s="18"/>
      <c r="E928" s="18"/>
      <c r="F928" s="18"/>
      <c r="G928" s="18"/>
      <c r="H928" s="18"/>
      <c r="I928" s="18"/>
      <c r="J928" s="18"/>
      <c r="K928" s="18"/>
      <c r="L928" s="18"/>
      <c r="M928" s="18"/>
      <c r="N928" s="18">
        <v>1191366</v>
      </c>
    </row>
    <row r="929" spans="1:14">
      <c r="A929" s="754" t="s">
        <v>901</v>
      </c>
      <c r="B929" s="18"/>
      <c r="C929" s="18">
        <v>2593661</v>
      </c>
      <c r="D929" s="18"/>
      <c r="E929" s="18"/>
      <c r="F929" s="18"/>
      <c r="G929" s="18"/>
      <c r="H929" s="18"/>
      <c r="I929" s="18"/>
      <c r="J929" s="18"/>
      <c r="K929" s="18"/>
      <c r="L929" s="18"/>
      <c r="M929" s="18"/>
      <c r="N929" s="18">
        <v>2593661</v>
      </c>
    </row>
    <row r="930" spans="1:14">
      <c r="A930" s="754" t="s">
        <v>903</v>
      </c>
      <c r="B930" s="18"/>
      <c r="C930" s="18">
        <v>239587</v>
      </c>
      <c r="D930" s="18"/>
      <c r="E930" s="18"/>
      <c r="F930" s="18"/>
      <c r="G930" s="18"/>
      <c r="H930" s="18"/>
      <c r="I930" s="18"/>
      <c r="J930" s="18"/>
      <c r="K930" s="18"/>
      <c r="L930" s="18"/>
      <c r="M930" s="18"/>
      <c r="N930" s="18">
        <v>239587</v>
      </c>
    </row>
    <row r="931" spans="1:14">
      <c r="A931" s="754" t="s">
        <v>905</v>
      </c>
      <c r="B931" s="18"/>
      <c r="C931" s="18">
        <v>0</v>
      </c>
      <c r="D931" s="18"/>
      <c r="E931" s="18"/>
      <c r="F931" s="18"/>
      <c r="G931" s="18"/>
      <c r="H931" s="18"/>
      <c r="I931" s="18"/>
      <c r="J931" s="18"/>
      <c r="K931" s="18"/>
      <c r="L931" s="18"/>
      <c r="M931" s="18"/>
      <c r="N931" s="18">
        <v>0</v>
      </c>
    </row>
    <row r="932" spans="1:14">
      <c r="A932" s="754" t="s">
        <v>174</v>
      </c>
      <c r="B932" s="18"/>
      <c r="C932" s="18">
        <v>0</v>
      </c>
      <c r="D932" s="18"/>
      <c r="E932" s="18"/>
      <c r="F932" s="18"/>
      <c r="G932" s="18"/>
      <c r="H932" s="18"/>
      <c r="I932" s="18"/>
      <c r="J932" s="18"/>
      <c r="K932" s="18"/>
      <c r="L932" s="18"/>
      <c r="M932" s="18"/>
      <c r="N932" s="18">
        <v>0</v>
      </c>
    </row>
    <row r="933" spans="1:14">
      <c r="A933" s="489" t="s">
        <v>1755</v>
      </c>
      <c r="B933" s="18"/>
      <c r="C933" s="18">
        <v>1191366</v>
      </c>
      <c r="D933" s="18"/>
      <c r="E933" s="18"/>
      <c r="F933" s="18"/>
      <c r="G933" s="18"/>
      <c r="H933" s="18"/>
      <c r="I933" s="18"/>
      <c r="J933" s="18"/>
      <c r="K933" s="18"/>
      <c r="L933" s="18"/>
      <c r="M933" s="18"/>
      <c r="N933" s="18">
        <v>1191366</v>
      </c>
    </row>
    <row r="934" spans="1:14">
      <c r="A934" s="489" t="s">
        <v>1545</v>
      </c>
      <c r="B934" s="18"/>
      <c r="C934" s="18">
        <v>2593661</v>
      </c>
      <c r="D934" s="18"/>
      <c r="E934" s="18"/>
      <c r="F934" s="18"/>
      <c r="G934" s="18"/>
      <c r="H934" s="18"/>
      <c r="I934" s="18"/>
      <c r="J934" s="18"/>
      <c r="K934" s="18"/>
      <c r="L934" s="18"/>
      <c r="M934" s="18"/>
      <c r="N934" s="18">
        <v>2593661</v>
      </c>
    </row>
    <row r="935" spans="1:14">
      <c r="A935" s="489" t="s">
        <v>1335</v>
      </c>
      <c r="B935" s="18"/>
      <c r="C935" s="18">
        <v>239587</v>
      </c>
      <c r="D935" s="18"/>
      <c r="E935" s="18"/>
      <c r="F935" s="18"/>
      <c r="G935" s="18"/>
      <c r="H935" s="18"/>
      <c r="I935" s="18"/>
      <c r="J935" s="18"/>
      <c r="K935" s="18"/>
      <c r="L935" s="18"/>
      <c r="M935" s="18"/>
      <c r="N935" s="18">
        <v>239587</v>
      </c>
    </row>
    <row r="936" spans="1:14">
      <c r="A936" s="489" t="s">
        <v>1125</v>
      </c>
      <c r="B936" s="18"/>
      <c r="C936" s="18">
        <v>0</v>
      </c>
      <c r="D936" s="18"/>
      <c r="E936" s="18"/>
      <c r="F936" s="18"/>
      <c r="G936" s="18"/>
      <c r="H936" s="18"/>
      <c r="I936" s="18"/>
      <c r="J936" s="18"/>
      <c r="K936" s="18"/>
      <c r="L936" s="18"/>
      <c r="M936" s="18"/>
      <c r="N936" s="18">
        <v>0</v>
      </c>
    </row>
    <row r="937" spans="1:14">
      <c r="A937" s="489" t="s">
        <v>915</v>
      </c>
      <c r="B937" s="18"/>
      <c r="C937" s="18">
        <v>0</v>
      </c>
      <c r="D937" s="18"/>
      <c r="E937" s="18"/>
      <c r="F937" s="18"/>
      <c r="G937" s="18"/>
      <c r="H937" s="18"/>
      <c r="I937" s="18"/>
      <c r="J937" s="18"/>
      <c r="K937" s="18"/>
      <c r="L937" s="18"/>
      <c r="M937" s="18"/>
      <c r="N937" s="18">
        <v>0</v>
      </c>
    </row>
    <row r="938" spans="1:14">
      <c r="A938" s="347" t="s">
        <v>1847</v>
      </c>
      <c r="B938" s="18"/>
      <c r="C938" s="18">
        <v>1191366</v>
      </c>
      <c r="D938" s="18"/>
      <c r="E938" s="18"/>
      <c r="F938" s="18"/>
      <c r="G938" s="18"/>
      <c r="H938" s="18"/>
      <c r="I938" s="18"/>
      <c r="J938" s="18"/>
      <c r="K938" s="18"/>
      <c r="L938" s="18"/>
      <c r="M938" s="18"/>
      <c r="N938" s="18">
        <v>1191366</v>
      </c>
    </row>
    <row r="939" spans="1:14">
      <c r="A939" s="347" t="s">
        <v>1637</v>
      </c>
      <c r="B939" s="18"/>
      <c r="C939" s="18">
        <v>2593661</v>
      </c>
      <c r="D939" s="18"/>
      <c r="E939" s="18"/>
      <c r="F939" s="18"/>
      <c r="G939" s="18"/>
      <c r="H939" s="18"/>
      <c r="I939" s="18"/>
      <c r="J939" s="18"/>
      <c r="K939" s="18"/>
      <c r="L939" s="18"/>
      <c r="M939" s="18"/>
      <c r="N939" s="18">
        <v>2593661</v>
      </c>
    </row>
    <row r="940" spans="1:14">
      <c r="A940" s="347" t="s">
        <v>1427</v>
      </c>
      <c r="B940" s="18"/>
      <c r="C940" s="18">
        <v>239587</v>
      </c>
      <c r="D940" s="18"/>
      <c r="E940" s="18"/>
      <c r="F940" s="18"/>
      <c r="G940" s="18"/>
      <c r="H940" s="18"/>
      <c r="I940" s="18"/>
      <c r="J940" s="18"/>
      <c r="K940" s="18"/>
      <c r="L940" s="18"/>
      <c r="M940" s="18"/>
      <c r="N940" s="18">
        <v>239587</v>
      </c>
    </row>
    <row r="941" spans="1:14">
      <c r="A941" s="347" t="s">
        <v>1217</v>
      </c>
      <c r="B941" s="18"/>
      <c r="C941" s="18">
        <v>0</v>
      </c>
      <c r="D941" s="18"/>
      <c r="E941" s="18"/>
      <c r="F941" s="18"/>
      <c r="G941" s="18"/>
      <c r="H941" s="18"/>
      <c r="I941" s="18"/>
      <c r="J941" s="18"/>
      <c r="K941" s="18"/>
      <c r="L941" s="18"/>
      <c r="M941" s="18"/>
      <c r="N941" s="18">
        <v>0</v>
      </c>
    </row>
    <row r="942" spans="1:14">
      <c r="A942" s="347" t="s">
        <v>1007</v>
      </c>
      <c r="B942" s="18"/>
      <c r="C942" s="18">
        <v>0</v>
      </c>
      <c r="D942" s="18"/>
      <c r="E942" s="18"/>
      <c r="F942" s="18"/>
      <c r="G942" s="18"/>
      <c r="H942" s="18"/>
      <c r="I942" s="18"/>
      <c r="J942" s="18"/>
      <c r="K942" s="18"/>
      <c r="L942" s="18"/>
      <c r="M942" s="18"/>
      <c r="N942" s="18">
        <v>0</v>
      </c>
    </row>
    <row r="943" spans="1:14">
      <c r="A943" s="19" t="s">
        <v>1848</v>
      </c>
      <c r="B943" s="18"/>
      <c r="C943" s="18">
        <v>1191366</v>
      </c>
      <c r="D943" s="18"/>
      <c r="E943" s="18"/>
      <c r="F943" s="18"/>
      <c r="G943" s="18"/>
      <c r="H943" s="18"/>
      <c r="I943" s="18"/>
      <c r="J943" s="18"/>
      <c r="K943" s="18"/>
      <c r="L943" s="18"/>
      <c r="M943" s="18"/>
      <c r="N943" s="18">
        <v>1191366</v>
      </c>
    </row>
    <row r="944" spans="1:14">
      <c r="A944" s="19" t="s">
        <v>1638</v>
      </c>
      <c r="B944" s="18"/>
      <c r="C944" s="18">
        <v>2593661</v>
      </c>
      <c r="D944" s="18"/>
      <c r="E944" s="18"/>
      <c r="F944" s="18"/>
      <c r="G944" s="18"/>
      <c r="H944" s="18"/>
      <c r="I944" s="18"/>
      <c r="J944" s="18"/>
      <c r="K944" s="18"/>
      <c r="L944" s="18"/>
      <c r="M944" s="18"/>
      <c r="N944" s="18">
        <v>2593661</v>
      </c>
    </row>
    <row r="945" spans="1:14">
      <c r="A945" s="19" t="s">
        <v>1428</v>
      </c>
      <c r="B945" s="18"/>
      <c r="C945" s="18">
        <v>239587</v>
      </c>
      <c r="D945" s="18"/>
      <c r="E945" s="18"/>
      <c r="F945" s="18"/>
      <c r="G945" s="18"/>
      <c r="H945" s="18"/>
      <c r="I945" s="18"/>
      <c r="J945" s="18"/>
      <c r="K945" s="18"/>
      <c r="L945" s="18"/>
      <c r="M945" s="18"/>
      <c r="N945" s="18">
        <v>239587</v>
      </c>
    </row>
    <row r="946" spans="1:14">
      <c r="A946" s="19" t="s">
        <v>1218</v>
      </c>
      <c r="B946" s="18"/>
      <c r="C946" s="18">
        <v>0</v>
      </c>
      <c r="D946" s="18"/>
      <c r="E946" s="18"/>
      <c r="F946" s="18"/>
      <c r="G946" s="18"/>
      <c r="H946" s="18"/>
      <c r="I946" s="18"/>
      <c r="J946" s="18"/>
      <c r="K946" s="18"/>
      <c r="L946" s="18"/>
      <c r="M946" s="18"/>
      <c r="N946" s="18">
        <v>0</v>
      </c>
    </row>
    <row r="947" spans="1:14">
      <c r="A947" s="19" t="s">
        <v>1008</v>
      </c>
      <c r="B947" s="18"/>
      <c r="C947" s="18">
        <v>0</v>
      </c>
      <c r="D947" s="18"/>
      <c r="E947" s="18"/>
      <c r="F947" s="18"/>
      <c r="G947" s="18"/>
      <c r="H947" s="18"/>
      <c r="I947" s="18"/>
      <c r="J947" s="18"/>
      <c r="K947" s="18"/>
      <c r="L947" s="18"/>
      <c r="M947" s="18"/>
      <c r="N947" s="18">
        <v>0</v>
      </c>
    </row>
    <row r="948" spans="1:14">
      <c r="A948" s="4" t="s">
        <v>1849</v>
      </c>
      <c r="B948" s="18"/>
      <c r="C948" s="18">
        <v>1191366</v>
      </c>
      <c r="D948" s="18"/>
      <c r="E948" s="18"/>
      <c r="F948" s="18"/>
      <c r="G948" s="18"/>
      <c r="H948" s="18"/>
      <c r="I948" s="18"/>
      <c r="J948" s="18"/>
      <c r="K948" s="18"/>
      <c r="L948" s="18"/>
      <c r="M948" s="18"/>
      <c r="N948" s="18">
        <v>1191366</v>
      </c>
    </row>
    <row r="949" spans="1:14">
      <c r="A949" s="4" t="s">
        <v>1639</v>
      </c>
      <c r="B949" s="18"/>
      <c r="C949" s="18">
        <v>2593661</v>
      </c>
      <c r="D949" s="18"/>
      <c r="E949" s="18"/>
      <c r="F949" s="18"/>
      <c r="G949" s="18"/>
      <c r="H949" s="18"/>
      <c r="I949" s="18"/>
      <c r="J949" s="18"/>
      <c r="K949" s="18"/>
      <c r="L949" s="18"/>
      <c r="M949" s="18"/>
      <c r="N949" s="18">
        <v>2593661</v>
      </c>
    </row>
    <row r="950" spans="1:14">
      <c r="A950" s="4" t="s">
        <v>1429</v>
      </c>
      <c r="B950" s="18"/>
      <c r="C950" s="18">
        <v>239587</v>
      </c>
      <c r="D950" s="18"/>
      <c r="E950" s="18"/>
      <c r="F950" s="18"/>
      <c r="G950" s="18"/>
      <c r="H950" s="18"/>
      <c r="I950" s="18"/>
      <c r="J950" s="18"/>
      <c r="K950" s="18"/>
      <c r="L950" s="18"/>
      <c r="M950" s="18"/>
      <c r="N950" s="18">
        <v>239587</v>
      </c>
    </row>
    <row r="951" spans="1:14">
      <c r="A951" s="4" t="s">
        <v>1219</v>
      </c>
      <c r="B951" s="18"/>
      <c r="C951" s="18">
        <v>0</v>
      </c>
      <c r="D951" s="18"/>
      <c r="E951" s="18"/>
      <c r="F951" s="18"/>
      <c r="G951" s="18"/>
      <c r="H951" s="18"/>
      <c r="I951" s="18"/>
      <c r="J951" s="18"/>
      <c r="K951" s="18"/>
      <c r="L951" s="18"/>
      <c r="M951" s="18"/>
      <c r="N951" s="18">
        <v>0</v>
      </c>
    </row>
    <row r="952" spans="1:14">
      <c r="A952" s="4" t="s">
        <v>1009</v>
      </c>
      <c r="B952" s="18"/>
      <c r="C952" s="18">
        <v>0</v>
      </c>
      <c r="D952" s="18"/>
      <c r="E952" s="18"/>
      <c r="F952" s="18"/>
      <c r="G952" s="18"/>
      <c r="H952" s="18"/>
      <c r="I952" s="18"/>
      <c r="J952" s="18"/>
      <c r="K952" s="18"/>
      <c r="L952" s="18"/>
      <c r="M952" s="18"/>
      <c r="N952" s="18">
        <v>0</v>
      </c>
    </row>
    <row r="953" spans="1:14">
      <c r="A953" s="4">
        <v>1196851</v>
      </c>
      <c r="B953" s="18"/>
      <c r="C953" s="18"/>
      <c r="D953" s="18"/>
      <c r="E953" s="18"/>
      <c r="F953" s="18"/>
      <c r="G953" s="18"/>
      <c r="H953" s="18"/>
      <c r="I953" s="18"/>
      <c r="J953" s="18"/>
      <c r="K953" s="18"/>
      <c r="L953" s="18"/>
      <c r="M953" s="18"/>
      <c r="N953" s="18"/>
    </row>
    <row r="954" spans="1:14">
      <c r="A954" s="19">
        <v>384000</v>
      </c>
      <c r="B954" s="18"/>
      <c r="C954" s="18"/>
      <c r="D954" s="18"/>
      <c r="E954" s="18"/>
      <c r="F954" s="18"/>
      <c r="G954" s="18"/>
      <c r="H954" s="18"/>
      <c r="I954" s="18"/>
      <c r="J954" s="18"/>
      <c r="K954" s="18"/>
      <c r="L954" s="18"/>
      <c r="M954" s="18"/>
      <c r="N954" s="18"/>
    </row>
    <row r="955" spans="1:14">
      <c r="A955" s="347">
        <v>2362522</v>
      </c>
      <c r="B955" s="18"/>
      <c r="C955" s="18"/>
      <c r="D955" s="18"/>
      <c r="E955" s="18"/>
      <c r="F955" s="18"/>
      <c r="G955" s="18"/>
      <c r="H955" s="18"/>
      <c r="I955" s="18"/>
      <c r="J955" s="18"/>
      <c r="K955" s="18"/>
      <c r="L955" s="18"/>
      <c r="M955" s="18"/>
      <c r="N955" s="18"/>
    </row>
    <row r="956" spans="1:14">
      <c r="A956" s="489">
        <v>0</v>
      </c>
      <c r="B956" s="18"/>
      <c r="C956" s="18"/>
      <c r="D956" s="18"/>
      <c r="E956" s="18"/>
      <c r="F956" s="18"/>
      <c r="G956" s="18"/>
      <c r="H956" s="18"/>
      <c r="I956" s="18"/>
      <c r="J956" s="18"/>
      <c r="K956" s="18"/>
      <c r="L956" s="18"/>
      <c r="M956" s="18"/>
      <c r="N956" s="18"/>
    </row>
    <row r="957" spans="1:14">
      <c r="A957" s="753">
        <v>159192</v>
      </c>
      <c r="B957" s="18"/>
      <c r="C957" s="18"/>
      <c r="D957" s="18"/>
      <c r="E957" s="18"/>
      <c r="F957" s="18"/>
      <c r="G957" s="18"/>
      <c r="H957" s="18"/>
      <c r="I957" s="18"/>
      <c r="J957" s="18"/>
      <c r="K957" s="18"/>
      <c r="L957" s="18"/>
      <c r="M957" s="18"/>
      <c r="N957" s="18"/>
    </row>
    <row r="958" spans="1:14">
      <c r="A958" s="754" t="s">
        <v>898</v>
      </c>
      <c r="B958" s="18"/>
      <c r="C958" s="18"/>
      <c r="D958" s="18">
        <v>1196851</v>
      </c>
      <c r="E958" s="18"/>
      <c r="F958" s="18"/>
      <c r="G958" s="18"/>
      <c r="H958" s="18"/>
      <c r="I958" s="18"/>
      <c r="J958" s="18"/>
      <c r="K958" s="18"/>
      <c r="L958" s="18"/>
      <c r="M958" s="18"/>
      <c r="N958" s="18">
        <v>1196851</v>
      </c>
    </row>
    <row r="959" spans="1:14">
      <c r="A959" s="754" t="s">
        <v>901</v>
      </c>
      <c r="B959" s="18"/>
      <c r="C959" s="18"/>
      <c r="D959" s="18">
        <v>2362522</v>
      </c>
      <c r="E959" s="18"/>
      <c r="F959" s="18"/>
      <c r="G959" s="18"/>
      <c r="H959" s="18"/>
      <c r="I959" s="18"/>
      <c r="J959" s="18"/>
      <c r="K959" s="18"/>
      <c r="L959" s="18"/>
      <c r="M959" s="18"/>
      <c r="N959" s="18">
        <v>2362522</v>
      </c>
    </row>
    <row r="960" spans="1:14">
      <c r="A960" s="754" t="s">
        <v>903</v>
      </c>
      <c r="B960" s="18"/>
      <c r="C960" s="18"/>
      <c r="D960" s="18">
        <v>384000</v>
      </c>
      <c r="E960" s="18"/>
      <c r="F960" s="18"/>
      <c r="G960" s="18"/>
      <c r="H960" s="18"/>
      <c r="I960" s="18"/>
      <c r="J960" s="18"/>
      <c r="K960" s="18"/>
      <c r="L960" s="18"/>
      <c r="M960" s="18"/>
      <c r="N960" s="18">
        <v>384000</v>
      </c>
    </row>
    <row r="961" spans="1:14">
      <c r="A961" s="754" t="s">
        <v>905</v>
      </c>
      <c r="B961" s="18"/>
      <c r="C961" s="18"/>
      <c r="D961" s="18">
        <v>0</v>
      </c>
      <c r="E961" s="18"/>
      <c r="F961" s="18"/>
      <c r="G961" s="18"/>
      <c r="H961" s="18"/>
      <c r="I961" s="18"/>
      <c r="J961" s="18"/>
      <c r="K961" s="18"/>
      <c r="L961" s="18"/>
      <c r="M961" s="18"/>
      <c r="N961" s="18">
        <v>0</v>
      </c>
    </row>
    <row r="962" spans="1:14">
      <c r="A962" s="754" t="s">
        <v>174</v>
      </c>
      <c r="B962" s="18"/>
      <c r="C962" s="18"/>
      <c r="D962" s="18">
        <v>159192</v>
      </c>
      <c r="E962" s="18"/>
      <c r="F962" s="18"/>
      <c r="G962" s="18"/>
      <c r="H962" s="18"/>
      <c r="I962" s="18"/>
      <c r="J962" s="18"/>
      <c r="K962" s="18"/>
      <c r="L962" s="18"/>
      <c r="M962" s="18"/>
      <c r="N962" s="18">
        <v>159192</v>
      </c>
    </row>
    <row r="963" spans="1:14">
      <c r="A963" s="489" t="s">
        <v>1755</v>
      </c>
      <c r="B963" s="18"/>
      <c r="C963" s="18"/>
      <c r="D963" s="18">
        <v>1196851</v>
      </c>
      <c r="E963" s="18"/>
      <c r="F963" s="18"/>
      <c r="G963" s="18"/>
      <c r="H963" s="18"/>
      <c r="I963" s="18"/>
      <c r="J963" s="18"/>
      <c r="K963" s="18"/>
      <c r="L963" s="18"/>
      <c r="M963" s="18"/>
      <c r="N963" s="18">
        <v>1196851</v>
      </c>
    </row>
    <row r="964" spans="1:14">
      <c r="A964" s="489" t="s">
        <v>1545</v>
      </c>
      <c r="B964" s="18"/>
      <c r="C964" s="18"/>
      <c r="D964" s="18">
        <v>2362522</v>
      </c>
      <c r="E964" s="18"/>
      <c r="F964" s="18"/>
      <c r="G964" s="18"/>
      <c r="H964" s="18"/>
      <c r="I964" s="18"/>
      <c r="J964" s="18"/>
      <c r="K964" s="18"/>
      <c r="L964" s="18"/>
      <c r="M964" s="18"/>
      <c r="N964" s="18">
        <v>2362522</v>
      </c>
    </row>
    <row r="965" spans="1:14">
      <c r="A965" s="489" t="s">
        <v>1335</v>
      </c>
      <c r="B965" s="18"/>
      <c r="C965" s="18"/>
      <c r="D965" s="18">
        <v>384000</v>
      </c>
      <c r="E965" s="18"/>
      <c r="F965" s="18"/>
      <c r="G965" s="18"/>
      <c r="H965" s="18"/>
      <c r="I965" s="18"/>
      <c r="J965" s="18"/>
      <c r="K965" s="18"/>
      <c r="L965" s="18"/>
      <c r="M965" s="18"/>
      <c r="N965" s="18">
        <v>384000</v>
      </c>
    </row>
    <row r="966" spans="1:14">
      <c r="A966" s="489" t="s">
        <v>1125</v>
      </c>
      <c r="B966" s="18"/>
      <c r="C966" s="18"/>
      <c r="D966" s="18">
        <v>0</v>
      </c>
      <c r="E966" s="18"/>
      <c r="F966" s="18"/>
      <c r="G966" s="18"/>
      <c r="H966" s="18"/>
      <c r="I966" s="18"/>
      <c r="J966" s="18"/>
      <c r="K966" s="18"/>
      <c r="L966" s="18"/>
      <c r="M966" s="18"/>
      <c r="N966" s="18">
        <v>0</v>
      </c>
    </row>
    <row r="967" spans="1:14">
      <c r="A967" s="489" t="s">
        <v>915</v>
      </c>
      <c r="B967" s="18"/>
      <c r="C967" s="18"/>
      <c r="D967" s="18">
        <v>159192</v>
      </c>
      <c r="E967" s="18"/>
      <c r="F967" s="18"/>
      <c r="G967" s="18"/>
      <c r="H967" s="18"/>
      <c r="I967" s="18"/>
      <c r="J967" s="18"/>
      <c r="K967" s="18"/>
      <c r="L967" s="18"/>
      <c r="M967" s="18"/>
      <c r="N967" s="18">
        <v>159192</v>
      </c>
    </row>
    <row r="968" spans="1:14">
      <c r="A968" s="347" t="s">
        <v>1850</v>
      </c>
      <c r="B968" s="18"/>
      <c r="C968" s="18"/>
      <c r="D968" s="18">
        <v>1196851</v>
      </c>
      <c r="E968" s="18"/>
      <c r="F968" s="18"/>
      <c r="G968" s="18"/>
      <c r="H968" s="18"/>
      <c r="I968" s="18"/>
      <c r="J968" s="18"/>
      <c r="K968" s="18"/>
      <c r="L968" s="18"/>
      <c r="M968" s="18"/>
      <c r="N968" s="18">
        <v>1196851</v>
      </c>
    </row>
    <row r="969" spans="1:14">
      <c r="A969" s="347" t="s">
        <v>1640</v>
      </c>
      <c r="B969" s="18"/>
      <c r="C969" s="18"/>
      <c r="D969" s="18">
        <v>2362522</v>
      </c>
      <c r="E969" s="18"/>
      <c r="F969" s="18"/>
      <c r="G969" s="18"/>
      <c r="H969" s="18"/>
      <c r="I969" s="18"/>
      <c r="J969" s="18"/>
      <c r="K969" s="18"/>
      <c r="L969" s="18"/>
      <c r="M969" s="18"/>
      <c r="N969" s="18">
        <v>2362522</v>
      </c>
    </row>
    <row r="970" spans="1:14">
      <c r="A970" s="347" t="s">
        <v>1430</v>
      </c>
      <c r="B970" s="18"/>
      <c r="C970" s="18"/>
      <c r="D970" s="18">
        <v>384000</v>
      </c>
      <c r="E970" s="18"/>
      <c r="F970" s="18"/>
      <c r="G970" s="18"/>
      <c r="H970" s="18"/>
      <c r="I970" s="18"/>
      <c r="J970" s="18"/>
      <c r="K970" s="18"/>
      <c r="L970" s="18"/>
      <c r="M970" s="18"/>
      <c r="N970" s="18">
        <v>384000</v>
      </c>
    </row>
    <row r="971" spans="1:14">
      <c r="A971" s="347" t="s">
        <v>1220</v>
      </c>
      <c r="B971" s="18"/>
      <c r="C971" s="18"/>
      <c r="D971" s="18">
        <v>0</v>
      </c>
      <c r="E971" s="18"/>
      <c r="F971" s="18"/>
      <c r="G971" s="18"/>
      <c r="H971" s="18"/>
      <c r="I971" s="18"/>
      <c r="J971" s="18"/>
      <c r="K971" s="18"/>
      <c r="L971" s="18"/>
      <c r="M971" s="18"/>
      <c r="N971" s="18">
        <v>0</v>
      </c>
    </row>
    <row r="972" spans="1:14">
      <c r="A972" s="347" t="s">
        <v>1010</v>
      </c>
      <c r="B972" s="18"/>
      <c r="C972" s="18"/>
      <c r="D972" s="18">
        <v>159192</v>
      </c>
      <c r="E972" s="18"/>
      <c r="F972" s="18"/>
      <c r="G972" s="18"/>
      <c r="H972" s="18"/>
      <c r="I972" s="18"/>
      <c r="J972" s="18"/>
      <c r="K972" s="18"/>
      <c r="L972" s="18"/>
      <c r="M972" s="18"/>
      <c r="N972" s="18">
        <v>159192</v>
      </c>
    </row>
    <row r="973" spans="1:14">
      <c r="A973" s="19" t="s">
        <v>1851</v>
      </c>
      <c r="B973" s="18"/>
      <c r="C973" s="18"/>
      <c r="D973" s="18">
        <v>1196851</v>
      </c>
      <c r="E973" s="18"/>
      <c r="F973" s="18"/>
      <c r="G973" s="18"/>
      <c r="H973" s="18"/>
      <c r="I973" s="18"/>
      <c r="J973" s="18"/>
      <c r="K973" s="18"/>
      <c r="L973" s="18"/>
      <c r="M973" s="18"/>
      <c r="N973" s="18">
        <v>1196851</v>
      </c>
    </row>
    <row r="974" spans="1:14">
      <c r="A974" s="19" t="s">
        <v>1641</v>
      </c>
      <c r="B974" s="18"/>
      <c r="C974" s="18"/>
      <c r="D974" s="18">
        <v>2362522</v>
      </c>
      <c r="E974" s="18"/>
      <c r="F974" s="18"/>
      <c r="G974" s="18"/>
      <c r="H974" s="18"/>
      <c r="I974" s="18"/>
      <c r="J974" s="18"/>
      <c r="K974" s="18"/>
      <c r="L974" s="18"/>
      <c r="M974" s="18"/>
      <c r="N974" s="18">
        <v>2362522</v>
      </c>
    </row>
    <row r="975" spans="1:14">
      <c r="A975" s="19" t="s">
        <v>1431</v>
      </c>
      <c r="B975" s="18"/>
      <c r="C975" s="18"/>
      <c r="D975" s="18">
        <v>384000</v>
      </c>
      <c r="E975" s="18"/>
      <c r="F975" s="18"/>
      <c r="G975" s="18"/>
      <c r="H975" s="18"/>
      <c r="I975" s="18"/>
      <c r="J975" s="18"/>
      <c r="K975" s="18"/>
      <c r="L975" s="18"/>
      <c r="M975" s="18"/>
      <c r="N975" s="18">
        <v>384000</v>
      </c>
    </row>
    <row r="976" spans="1:14">
      <c r="A976" s="19" t="s">
        <v>1221</v>
      </c>
      <c r="B976" s="18"/>
      <c r="C976" s="18"/>
      <c r="D976" s="18">
        <v>0</v>
      </c>
      <c r="E976" s="18"/>
      <c r="F976" s="18"/>
      <c r="G976" s="18"/>
      <c r="H976" s="18"/>
      <c r="I976" s="18"/>
      <c r="J976" s="18"/>
      <c r="K976" s="18"/>
      <c r="L976" s="18"/>
      <c r="M976" s="18"/>
      <c r="N976" s="18">
        <v>0</v>
      </c>
    </row>
    <row r="977" spans="1:14">
      <c r="A977" s="19" t="s">
        <v>1011</v>
      </c>
      <c r="B977" s="18"/>
      <c r="C977" s="18"/>
      <c r="D977" s="18">
        <v>159192</v>
      </c>
      <c r="E977" s="18"/>
      <c r="F977" s="18"/>
      <c r="G977" s="18"/>
      <c r="H977" s="18"/>
      <c r="I977" s="18"/>
      <c r="J977" s="18"/>
      <c r="K977" s="18"/>
      <c r="L977" s="18"/>
      <c r="M977" s="18"/>
      <c r="N977" s="18">
        <v>159192</v>
      </c>
    </row>
    <row r="978" spans="1:14">
      <c r="A978" s="4" t="s">
        <v>1852</v>
      </c>
      <c r="B978" s="18"/>
      <c r="C978" s="18"/>
      <c r="D978" s="18">
        <v>1196851</v>
      </c>
      <c r="E978" s="18"/>
      <c r="F978" s="18"/>
      <c r="G978" s="18"/>
      <c r="H978" s="18"/>
      <c r="I978" s="18"/>
      <c r="J978" s="18"/>
      <c r="K978" s="18"/>
      <c r="L978" s="18"/>
      <c r="M978" s="18"/>
      <c r="N978" s="18">
        <v>1196851</v>
      </c>
    </row>
    <row r="979" spans="1:14">
      <c r="A979" s="4" t="s">
        <v>1642</v>
      </c>
      <c r="B979" s="18"/>
      <c r="C979" s="18"/>
      <c r="D979" s="18">
        <v>2362522</v>
      </c>
      <c r="E979" s="18"/>
      <c r="F979" s="18"/>
      <c r="G979" s="18"/>
      <c r="H979" s="18"/>
      <c r="I979" s="18"/>
      <c r="J979" s="18"/>
      <c r="K979" s="18"/>
      <c r="L979" s="18"/>
      <c r="M979" s="18"/>
      <c r="N979" s="18">
        <v>2362522</v>
      </c>
    </row>
    <row r="980" spans="1:14">
      <c r="A980" s="4" t="s">
        <v>1432</v>
      </c>
      <c r="B980" s="18"/>
      <c r="C980" s="18"/>
      <c r="D980" s="18">
        <v>384000</v>
      </c>
      <c r="E980" s="18"/>
      <c r="F980" s="18"/>
      <c r="G980" s="18"/>
      <c r="H980" s="18"/>
      <c r="I980" s="18"/>
      <c r="J980" s="18"/>
      <c r="K980" s="18"/>
      <c r="L980" s="18"/>
      <c r="M980" s="18"/>
      <c r="N980" s="18">
        <v>384000</v>
      </c>
    </row>
    <row r="981" spans="1:14">
      <c r="A981" s="4" t="s">
        <v>1222</v>
      </c>
      <c r="B981" s="18"/>
      <c r="C981" s="18"/>
      <c r="D981" s="18">
        <v>0</v>
      </c>
      <c r="E981" s="18"/>
      <c r="F981" s="18"/>
      <c r="G981" s="18"/>
      <c r="H981" s="18"/>
      <c r="I981" s="18"/>
      <c r="J981" s="18"/>
      <c r="K981" s="18"/>
      <c r="L981" s="18"/>
      <c r="M981" s="18"/>
      <c r="N981" s="18">
        <v>0</v>
      </c>
    </row>
    <row r="982" spans="1:14">
      <c r="A982" s="4" t="s">
        <v>1012</v>
      </c>
      <c r="B982" s="18"/>
      <c r="C982" s="18"/>
      <c r="D982" s="18">
        <v>159192</v>
      </c>
      <c r="E982" s="18"/>
      <c r="F982" s="18"/>
      <c r="G982" s="18"/>
      <c r="H982" s="18"/>
      <c r="I982" s="18"/>
      <c r="J982" s="18"/>
      <c r="K982" s="18"/>
      <c r="L982" s="18"/>
      <c r="M982" s="18"/>
      <c r="N982" s="18">
        <v>159192</v>
      </c>
    </row>
    <row r="983" spans="1:14">
      <c r="A983" s="4">
        <v>1210563</v>
      </c>
      <c r="B983" s="18"/>
      <c r="C983" s="18"/>
      <c r="D983" s="18"/>
      <c r="E983" s="18"/>
      <c r="F983" s="18"/>
      <c r="G983" s="18"/>
      <c r="H983" s="18"/>
      <c r="I983" s="18"/>
      <c r="J983" s="18"/>
      <c r="K983" s="18"/>
      <c r="L983" s="18"/>
      <c r="M983" s="18"/>
      <c r="N983" s="18"/>
    </row>
    <row r="984" spans="1:14">
      <c r="A984" s="19">
        <v>504000</v>
      </c>
      <c r="B984" s="18"/>
      <c r="C984" s="18"/>
      <c r="D984" s="18"/>
      <c r="E984" s="18"/>
      <c r="F984" s="18"/>
      <c r="G984" s="18"/>
      <c r="H984" s="18"/>
      <c r="I984" s="18"/>
      <c r="J984" s="18"/>
      <c r="K984" s="18"/>
      <c r="L984" s="18"/>
      <c r="M984" s="18"/>
      <c r="N984" s="18"/>
    </row>
    <row r="985" spans="1:14">
      <c r="A985" s="347">
        <v>1847820</v>
      </c>
      <c r="B985" s="18"/>
      <c r="C985" s="18"/>
      <c r="D985" s="18"/>
      <c r="E985" s="18"/>
      <c r="F985" s="18"/>
      <c r="G985" s="18"/>
      <c r="H985" s="18"/>
      <c r="I985" s="18"/>
      <c r="J985" s="18"/>
      <c r="K985" s="18"/>
      <c r="L985" s="18"/>
      <c r="M985" s="18"/>
      <c r="N985" s="18"/>
    </row>
    <row r="986" spans="1:14">
      <c r="A986" s="489">
        <v>114303</v>
      </c>
      <c r="B986" s="18"/>
      <c r="C986" s="18"/>
      <c r="D986" s="18"/>
      <c r="E986" s="18"/>
      <c r="F986" s="18"/>
      <c r="G986" s="18"/>
      <c r="H986" s="18"/>
      <c r="I986" s="18"/>
      <c r="J986" s="18"/>
      <c r="K986" s="18"/>
      <c r="L986" s="18"/>
      <c r="M986" s="18"/>
      <c r="N986" s="18"/>
    </row>
    <row r="987" spans="1:14">
      <c r="A987" s="753">
        <v>200000</v>
      </c>
      <c r="B987" s="18"/>
      <c r="C987" s="18"/>
      <c r="D987" s="18"/>
      <c r="E987" s="18"/>
      <c r="F987" s="18"/>
      <c r="G987" s="18"/>
      <c r="H987" s="18"/>
      <c r="I987" s="18"/>
      <c r="J987" s="18"/>
      <c r="K987" s="18"/>
      <c r="L987" s="18"/>
      <c r="M987" s="18"/>
      <c r="N987" s="18"/>
    </row>
    <row r="988" spans="1:14">
      <c r="A988" s="754" t="s">
        <v>898</v>
      </c>
      <c r="B988" s="18"/>
      <c r="C988" s="18"/>
      <c r="D988" s="18"/>
      <c r="E988" s="18"/>
      <c r="F988" s="18"/>
      <c r="G988" s="18"/>
      <c r="H988" s="18"/>
      <c r="I988" s="18">
        <v>1210563</v>
      </c>
      <c r="J988" s="18"/>
      <c r="K988" s="18"/>
      <c r="L988" s="18"/>
      <c r="M988" s="18"/>
      <c r="N988" s="18">
        <v>1210563</v>
      </c>
    </row>
    <row r="989" spans="1:14">
      <c r="A989" s="754" t="s">
        <v>901</v>
      </c>
      <c r="B989" s="18"/>
      <c r="C989" s="18"/>
      <c r="D989" s="18"/>
      <c r="E989" s="18"/>
      <c r="F989" s="18"/>
      <c r="G989" s="18"/>
      <c r="H989" s="18"/>
      <c r="I989" s="18">
        <v>1847820</v>
      </c>
      <c r="J989" s="18"/>
      <c r="K989" s="18"/>
      <c r="L989" s="18"/>
      <c r="M989" s="18"/>
      <c r="N989" s="18">
        <v>1847820</v>
      </c>
    </row>
    <row r="990" spans="1:14">
      <c r="A990" s="754" t="s">
        <v>903</v>
      </c>
      <c r="B990" s="18"/>
      <c r="C990" s="18"/>
      <c r="D990" s="18"/>
      <c r="E990" s="18"/>
      <c r="F990" s="18"/>
      <c r="G990" s="18"/>
      <c r="H990" s="18"/>
      <c r="I990" s="18">
        <v>504000</v>
      </c>
      <c r="J990" s="18"/>
      <c r="K990" s="18"/>
      <c r="L990" s="18"/>
      <c r="M990" s="18"/>
      <c r="N990" s="18">
        <v>504000</v>
      </c>
    </row>
    <row r="991" spans="1:14">
      <c r="A991" s="754" t="s">
        <v>905</v>
      </c>
      <c r="B991" s="18"/>
      <c r="C991" s="18"/>
      <c r="D991" s="18"/>
      <c r="E991" s="18"/>
      <c r="F991" s="18"/>
      <c r="G991" s="18"/>
      <c r="H991" s="18"/>
      <c r="I991" s="18">
        <v>114303</v>
      </c>
      <c r="J991" s="18"/>
      <c r="K991" s="18"/>
      <c r="L991" s="18"/>
      <c r="M991" s="18"/>
      <c r="N991" s="18">
        <v>114303</v>
      </c>
    </row>
    <row r="992" spans="1:14">
      <c r="A992" s="754" t="s">
        <v>174</v>
      </c>
      <c r="B992" s="18"/>
      <c r="C992" s="18"/>
      <c r="D992" s="18"/>
      <c r="E992" s="18"/>
      <c r="F992" s="18"/>
      <c r="G992" s="18"/>
      <c r="H992" s="18"/>
      <c r="I992" s="18">
        <v>200000</v>
      </c>
      <c r="J992" s="18"/>
      <c r="K992" s="18"/>
      <c r="L992" s="18"/>
      <c r="M992" s="18"/>
      <c r="N992" s="18">
        <v>200000</v>
      </c>
    </row>
    <row r="993" spans="1:14">
      <c r="A993" s="489" t="s">
        <v>1853</v>
      </c>
      <c r="B993" s="18"/>
      <c r="C993" s="18"/>
      <c r="D993" s="18"/>
      <c r="E993" s="18"/>
      <c r="F993" s="18"/>
      <c r="G993" s="18"/>
      <c r="H993" s="18"/>
      <c r="I993" s="18">
        <v>1210563</v>
      </c>
      <c r="J993" s="18"/>
      <c r="K993" s="18"/>
      <c r="L993" s="18"/>
      <c r="M993" s="18"/>
      <c r="N993" s="18">
        <v>1210563</v>
      </c>
    </row>
    <row r="994" spans="1:14">
      <c r="A994" s="489" t="s">
        <v>1643</v>
      </c>
      <c r="B994" s="18"/>
      <c r="C994" s="18"/>
      <c r="D994" s="18"/>
      <c r="E994" s="18"/>
      <c r="F994" s="18"/>
      <c r="G994" s="18"/>
      <c r="H994" s="18"/>
      <c r="I994" s="18">
        <v>1847820</v>
      </c>
      <c r="J994" s="18"/>
      <c r="K994" s="18"/>
      <c r="L994" s="18"/>
      <c r="M994" s="18"/>
      <c r="N994" s="18">
        <v>1847820</v>
      </c>
    </row>
    <row r="995" spans="1:14">
      <c r="A995" s="489" t="s">
        <v>1433</v>
      </c>
      <c r="B995" s="18"/>
      <c r="C995" s="18"/>
      <c r="D995" s="18"/>
      <c r="E995" s="18"/>
      <c r="F995" s="18"/>
      <c r="G995" s="18"/>
      <c r="H995" s="18"/>
      <c r="I995" s="18">
        <v>504000</v>
      </c>
      <c r="J995" s="18"/>
      <c r="K995" s="18"/>
      <c r="L995" s="18"/>
      <c r="M995" s="18"/>
      <c r="N995" s="18">
        <v>504000</v>
      </c>
    </row>
    <row r="996" spans="1:14">
      <c r="A996" s="489" t="s">
        <v>1223</v>
      </c>
      <c r="B996" s="18"/>
      <c r="C996" s="18"/>
      <c r="D996" s="18"/>
      <c r="E996" s="18"/>
      <c r="F996" s="18"/>
      <c r="G996" s="18"/>
      <c r="H996" s="18"/>
      <c r="I996" s="18">
        <v>114303</v>
      </c>
      <c r="J996" s="18"/>
      <c r="K996" s="18"/>
      <c r="L996" s="18"/>
      <c r="M996" s="18"/>
      <c r="N996" s="18">
        <v>114303</v>
      </c>
    </row>
    <row r="997" spans="1:14">
      <c r="A997" s="489" t="s">
        <v>1013</v>
      </c>
      <c r="B997" s="18"/>
      <c r="C997" s="18"/>
      <c r="D997" s="18"/>
      <c r="E997" s="18"/>
      <c r="F997" s="18"/>
      <c r="G997" s="18"/>
      <c r="H997" s="18"/>
      <c r="I997" s="18">
        <v>200000</v>
      </c>
      <c r="J997" s="18"/>
      <c r="K997" s="18"/>
      <c r="L997" s="18"/>
      <c r="M997" s="18"/>
      <c r="N997" s="18">
        <v>200000</v>
      </c>
    </row>
    <row r="998" spans="1:14">
      <c r="A998" s="347" t="s">
        <v>1854</v>
      </c>
      <c r="B998" s="18"/>
      <c r="C998" s="18"/>
      <c r="D998" s="18"/>
      <c r="E998" s="18"/>
      <c r="F998" s="18"/>
      <c r="G998" s="18"/>
      <c r="H998" s="18"/>
      <c r="I998" s="18">
        <v>1210563</v>
      </c>
      <c r="J998" s="18"/>
      <c r="K998" s="18"/>
      <c r="L998" s="18"/>
      <c r="M998" s="18"/>
      <c r="N998" s="18">
        <v>1210563</v>
      </c>
    </row>
    <row r="999" spans="1:14">
      <c r="A999" s="347" t="s">
        <v>1644</v>
      </c>
      <c r="B999" s="18"/>
      <c r="C999" s="18"/>
      <c r="D999" s="18"/>
      <c r="E999" s="18"/>
      <c r="F999" s="18"/>
      <c r="G999" s="18"/>
      <c r="H999" s="18"/>
      <c r="I999" s="18">
        <v>1847820</v>
      </c>
      <c r="J999" s="18"/>
      <c r="K999" s="18"/>
      <c r="L999" s="18"/>
      <c r="M999" s="18"/>
      <c r="N999" s="18">
        <v>1847820</v>
      </c>
    </row>
    <row r="1000" spans="1:14">
      <c r="A1000" s="347" t="s">
        <v>1434</v>
      </c>
      <c r="B1000" s="18"/>
      <c r="C1000" s="18"/>
      <c r="D1000" s="18"/>
      <c r="E1000" s="18"/>
      <c r="F1000" s="18"/>
      <c r="G1000" s="18"/>
      <c r="H1000" s="18"/>
      <c r="I1000" s="18">
        <v>504000</v>
      </c>
      <c r="J1000" s="18"/>
      <c r="K1000" s="18"/>
      <c r="L1000" s="18"/>
      <c r="M1000" s="18"/>
      <c r="N1000" s="18">
        <v>504000</v>
      </c>
    </row>
    <row r="1001" spans="1:14">
      <c r="A1001" s="347" t="s">
        <v>1224</v>
      </c>
      <c r="B1001" s="18"/>
      <c r="C1001" s="18"/>
      <c r="D1001" s="18"/>
      <c r="E1001" s="18"/>
      <c r="F1001" s="18"/>
      <c r="G1001" s="18"/>
      <c r="H1001" s="18"/>
      <c r="I1001" s="18">
        <v>114303</v>
      </c>
      <c r="J1001" s="18"/>
      <c r="K1001" s="18"/>
      <c r="L1001" s="18"/>
      <c r="M1001" s="18"/>
      <c r="N1001" s="18">
        <v>114303</v>
      </c>
    </row>
    <row r="1002" spans="1:14">
      <c r="A1002" s="347" t="s">
        <v>1014</v>
      </c>
      <c r="B1002" s="18"/>
      <c r="C1002" s="18"/>
      <c r="D1002" s="18"/>
      <c r="E1002" s="18"/>
      <c r="F1002" s="18"/>
      <c r="G1002" s="18"/>
      <c r="H1002" s="18"/>
      <c r="I1002" s="18">
        <v>200000</v>
      </c>
      <c r="J1002" s="18"/>
      <c r="K1002" s="18"/>
      <c r="L1002" s="18"/>
      <c r="M1002" s="18"/>
      <c r="N1002" s="18">
        <v>200000</v>
      </c>
    </row>
    <row r="1003" spans="1:14">
      <c r="A1003" s="19" t="s">
        <v>1855</v>
      </c>
      <c r="B1003" s="18"/>
      <c r="C1003" s="18"/>
      <c r="D1003" s="18"/>
      <c r="E1003" s="18"/>
      <c r="F1003" s="18"/>
      <c r="G1003" s="18"/>
      <c r="H1003" s="18"/>
      <c r="I1003" s="18">
        <v>1210563</v>
      </c>
      <c r="J1003" s="18"/>
      <c r="K1003" s="18"/>
      <c r="L1003" s="18"/>
      <c r="M1003" s="18"/>
      <c r="N1003" s="18">
        <v>1210563</v>
      </c>
    </row>
    <row r="1004" spans="1:14">
      <c r="A1004" s="19" t="s">
        <v>1645</v>
      </c>
      <c r="B1004" s="18"/>
      <c r="C1004" s="18"/>
      <c r="D1004" s="18"/>
      <c r="E1004" s="18"/>
      <c r="F1004" s="18"/>
      <c r="G1004" s="18"/>
      <c r="H1004" s="18"/>
      <c r="I1004" s="18">
        <v>1847820</v>
      </c>
      <c r="J1004" s="18"/>
      <c r="K1004" s="18"/>
      <c r="L1004" s="18"/>
      <c r="M1004" s="18"/>
      <c r="N1004" s="18">
        <v>1847820</v>
      </c>
    </row>
    <row r="1005" spans="1:14">
      <c r="A1005" s="19" t="s">
        <v>1435</v>
      </c>
      <c r="B1005" s="18"/>
      <c r="C1005" s="18"/>
      <c r="D1005" s="18"/>
      <c r="E1005" s="18"/>
      <c r="F1005" s="18"/>
      <c r="G1005" s="18"/>
      <c r="H1005" s="18"/>
      <c r="I1005" s="18">
        <v>504000</v>
      </c>
      <c r="J1005" s="18"/>
      <c r="K1005" s="18"/>
      <c r="L1005" s="18"/>
      <c r="M1005" s="18"/>
      <c r="N1005" s="18">
        <v>504000</v>
      </c>
    </row>
    <row r="1006" spans="1:14">
      <c r="A1006" s="19" t="s">
        <v>1225</v>
      </c>
      <c r="B1006" s="18"/>
      <c r="C1006" s="18"/>
      <c r="D1006" s="18"/>
      <c r="E1006" s="18"/>
      <c r="F1006" s="18"/>
      <c r="G1006" s="18"/>
      <c r="H1006" s="18"/>
      <c r="I1006" s="18">
        <v>114303</v>
      </c>
      <c r="J1006" s="18"/>
      <c r="K1006" s="18"/>
      <c r="L1006" s="18"/>
      <c r="M1006" s="18"/>
      <c r="N1006" s="18">
        <v>114303</v>
      </c>
    </row>
    <row r="1007" spans="1:14">
      <c r="A1007" s="19" t="s">
        <v>1015</v>
      </c>
      <c r="B1007" s="18"/>
      <c r="C1007" s="18"/>
      <c r="D1007" s="18"/>
      <c r="E1007" s="18"/>
      <c r="F1007" s="18"/>
      <c r="G1007" s="18"/>
      <c r="H1007" s="18"/>
      <c r="I1007" s="18">
        <v>200000</v>
      </c>
      <c r="J1007" s="18"/>
      <c r="K1007" s="18"/>
      <c r="L1007" s="18"/>
      <c r="M1007" s="18"/>
      <c r="N1007" s="18">
        <v>200000</v>
      </c>
    </row>
    <row r="1008" spans="1:14">
      <c r="A1008" s="4" t="s">
        <v>1856</v>
      </c>
      <c r="B1008" s="18"/>
      <c r="C1008" s="18"/>
      <c r="D1008" s="18"/>
      <c r="E1008" s="18"/>
      <c r="F1008" s="18"/>
      <c r="G1008" s="18"/>
      <c r="H1008" s="18"/>
      <c r="I1008" s="18">
        <v>1210563</v>
      </c>
      <c r="J1008" s="18"/>
      <c r="K1008" s="18"/>
      <c r="L1008" s="18"/>
      <c r="M1008" s="18"/>
      <c r="N1008" s="18">
        <v>1210563</v>
      </c>
    </row>
    <row r="1009" spans="1:14">
      <c r="A1009" s="4" t="s">
        <v>1646</v>
      </c>
      <c r="B1009" s="18"/>
      <c r="C1009" s="18"/>
      <c r="D1009" s="18"/>
      <c r="E1009" s="18"/>
      <c r="F1009" s="18"/>
      <c r="G1009" s="18"/>
      <c r="H1009" s="18"/>
      <c r="I1009" s="18">
        <v>1847820</v>
      </c>
      <c r="J1009" s="18"/>
      <c r="K1009" s="18"/>
      <c r="L1009" s="18"/>
      <c r="M1009" s="18"/>
      <c r="N1009" s="18">
        <v>1847820</v>
      </c>
    </row>
    <row r="1010" spans="1:14">
      <c r="A1010" s="4" t="s">
        <v>1436</v>
      </c>
      <c r="B1010" s="18"/>
      <c r="C1010" s="18"/>
      <c r="D1010" s="18"/>
      <c r="E1010" s="18"/>
      <c r="F1010" s="18"/>
      <c r="G1010" s="18"/>
      <c r="H1010" s="18"/>
      <c r="I1010" s="18">
        <v>504000</v>
      </c>
      <c r="J1010" s="18"/>
      <c r="K1010" s="18"/>
      <c r="L1010" s="18"/>
      <c r="M1010" s="18"/>
      <c r="N1010" s="18">
        <v>504000</v>
      </c>
    </row>
    <row r="1011" spans="1:14">
      <c r="A1011" s="4" t="s">
        <v>1226</v>
      </c>
      <c r="B1011" s="18"/>
      <c r="C1011" s="18"/>
      <c r="D1011" s="18"/>
      <c r="E1011" s="18"/>
      <c r="F1011" s="18"/>
      <c r="G1011" s="18"/>
      <c r="H1011" s="18"/>
      <c r="I1011" s="18">
        <v>114303</v>
      </c>
      <c r="J1011" s="18"/>
      <c r="K1011" s="18"/>
      <c r="L1011" s="18"/>
      <c r="M1011" s="18"/>
      <c r="N1011" s="18">
        <v>114303</v>
      </c>
    </row>
    <row r="1012" spans="1:14">
      <c r="A1012" s="4" t="s">
        <v>1016</v>
      </c>
      <c r="B1012" s="18"/>
      <c r="C1012" s="18"/>
      <c r="D1012" s="18"/>
      <c r="E1012" s="18"/>
      <c r="F1012" s="18"/>
      <c r="G1012" s="18"/>
      <c r="H1012" s="18"/>
      <c r="I1012" s="18">
        <v>200000</v>
      </c>
      <c r="J1012" s="18"/>
      <c r="K1012" s="18"/>
      <c r="L1012" s="18"/>
      <c r="M1012" s="18"/>
      <c r="N1012" s="18">
        <v>200000</v>
      </c>
    </row>
    <row r="1013" spans="1:14">
      <c r="A1013" s="4">
        <v>1260005</v>
      </c>
      <c r="B1013" s="18"/>
      <c r="C1013" s="18"/>
      <c r="D1013" s="18"/>
      <c r="E1013" s="18"/>
      <c r="F1013" s="18"/>
      <c r="G1013" s="18"/>
      <c r="H1013" s="18"/>
      <c r="I1013" s="18"/>
      <c r="J1013" s="18"/>
      <c r="K1013" s="18"/>
      <c r="L1013" s="18"/>
      <c r="M1013" s="18"/>
      <c r="N1013" s="18"/>
    </row>
    <row r="1014" spans="1:14">
      <c r="A1014" s="19">
        <v>480000</v>
      </c>
      <c r="B1014" s="18"/>
      <c r="C1014" s="18"/>
      <c r="D1014" s="18"/>
      <c r="E1014" s="18"/>
      <c r="F1014" s="18"/>
      <c r="G1014" s="18"/>
      <c r="H1014" s="18"/>
      <c r="I1014" s="18"/>
      <c r="J1014" s="18"/>
      <c r="K1014" s="18"/>
      <c r="L1014" s="18"/>
      <c r="M1014" s="18"/>
      <c r="N1014" s="18"/>
    </row>
    <row r="1015" spans="1:14">
      <c r="A1015" s="347">
        <v>2153894</v>
      </c>
      <c r="B1015" s="18"/>
      <c r="C1015" s="18"/>
      <c r="D1015" s="18"/>
      <c r="E1015" s="18"/>
      <c r="F1015" s="18"/>
      <c r="G1015" s="18"/>
      <c r="H1015" s="18"/>
      <c r="I1015" s="18"/>
      <c r="J1015" s="18"/>
      <c r="K1015" s="18"/>
      <c r="L1015" s="18"/>
      <c r="M1015" s="18"/>
      <c r="N1015" s="18"/>
    </row>
    <row r="1016" spans="1:14">
      <c r="A1016" s="489">
        <v>30000</v>
      </c>
      <c r="B1016" s="18"/>
      <c r="C1016" s="18"/>
      <c r="D1016" s="18"/>
      <c r="E1016" s="18"/>
      <c r="F1016" s="18"/>
      <c r="G1016" s="18"/>
      <c r="H1016" s="18"/>
      <c r="I1016" s="18"/>
      <c r="J1016" s="18"/>
      <c r="K1016" s="18"/>
      <c r="L1016" s="18"/>
      <c r="M1016" s="18"/>
      <c r="N1016" s="18"/>
    </row>
    <row r="1017" spans="1:14">
      <c r="A1017" s="753" t="s">
        <v>733</v>
      </c>
      <c r="B1017" s="18"/>
      <c r="C1017" s="18"/>
      <c r="D1017" s="18"/>
      <c r="E1017" s="18"/>
      <c r="F1017" s="18"/>
      <c r="G1017" s="18"/>
      <c r="H1017" s="18"/>
      <c r="I1017" s="18"/>
      <c r="J1017" s="18"/>
      <c r="K1017" s="18"/>
      <c r="L1017" s="18"/>
      <c r="M1017" s="18"/>
      <c r="N1017" s="18"/>
    </row>
    <row r="1018" spans="1:14">
      <c r="A1018" s="754" t="s">
        <v>898</v>
      </c>
      <c r="B1018" s="18"/>
      <c r="C1018" s="18"/>
      <c r="D1018" s="18"/>
      <c r="E1018" s="18"/>
      <c r="F1018" s="18"/>
      <c r="G1018" s="18"/>
      <c r="H1018" s="18"/>
      <c r="I1018" s="18">
        <v>1260005</v>
      </c>
      <c r="J1018" s="18"/>
      <c r="K1018" s="18"/>
      <c r="L1018" s="18"/>
      <c r="M1018" s="18"/>
      <c r="N1018" s="18">
        <v>1260005</v>
      </c>
    </row>
    <row r="1019" spans="1:14">
      <c r="A1019" s="754" t="s">
        <v>901</v>
      </c>
      <c r="B1019" s="18"/>
      <c r="C1019" s="18"/>
      <c r="D1019" s="18"/>
      <c r="E1019" s="18"/>
      <c r="F1019" s="18"/>
      <c r="G1019" s="18"/>
      <c r="H1019" s="18"/>
      <c r="I1019" s="18">
        <v>2153894</v>
      </c>
      <c r="J1019" s="18"/>
      <c r="K1019" s="18"/>
      <c r="L1019" s="18"/>
      <c r="M1019" s="18"/>
      <c r="N1019" s="18">
        <v>2153894</v>
      </c>
    </row>
    <row r="1020" spans="1:14">
      <c r="A1020" s="754" t="s">
        <v>903</v>
      </c>
      <c r="B1020" s="18"/>
      <c r="C1020" s="18"/>
      <c r="D1020" s="18"/>
      <c r="E1020" s="18"/>
      <c r="F1020" s="18"/>
      <c r="G1020" s="18"/>
      <c r="H1020" s="18"/>
      <c r="I1020" s="18">
        <v>480000</v>
      </c>
      <c r="J1020" s="18"/>
      <c r="K1020" s="18"/>
      <c r="L1020" s="18"/>
      <c r="M1020" s="18"/>
      <c r="N1020" s="18">
        <v>480000</v>
      </c>
    </row>
    <row r="1021" spans="1:14">
      <c r="A1021" s="754" t="s">
        <v>905</v>
      </c>
      <c r="B1021" s="18"/>
      <c r="C1021" s="18"/>
      <c r="D1021" s="18"/>
      <c r="E1021" s="18"/>
      <c r="F1021" s="18"/>
      <c r="G1021" s="18"/>
      <c r="H1021" s="18"/>
      <c r="I1021" s="18">
        <v>30000</v>
      </c>
      <c r="J1021" s="18"/>
      <c r="K1021" s="18"/>
      <c r="L1021" s="18"/>
      <c r="M1021" s="18"/>
      <c r="N1021" s="18">
        <v>30000</v>
      </c>
    </row>
    <row r="1022" spans="1:14">
      <c r="A1022" s="754" t="s">
        <v>174</v>
      </c>
      <c r="B1022" s="18"/>
      <c r="C1022" s="18"/>
      <c r="D1022" s="18"/>
      <c r="E1022" s="18"/>
      <c r="F1022" s="18"/>
      <c r="G1022" s="18"/>
      <c r="H1022" s="18"/>
      <c r="I1022" s="18"/>
      <c r="J1022" s="18"/>
      <c r="K1022" s="18"/>
      <c r="L1022" s="18"/>
      <c r="M1022" s="18"/>
      <c r="N1022" s="18"/>
    </row>
    <row r="1023" spans="1:14">
      <c r="A1023" s="489" t="s">
        <v>1857</v>
      </c>
      <c r="B1023" s="18"/>
      <c r="C1023" s="18"/>
      <c r="D1023" s="18"/>
      <c r="E1023" s="18"/>
      <c r="F1023" s="18"/>
      <c r="G1023" s="18"/>
      <c r="H1023" s="18"/>
      <c r="I1023" s="18">
        <v>1260005</v>
      </c>
      <c r="J1023" s="18"/>
      <c r="K1023" s="18"/>
      <c r="L1023" s="18"/>
      <c r="M1023" s="18"/>
      <c r="N1023" s="18">
        <v>1260005</v>
      </c>
    </row>
    <row r="1024" spans="1:14">
      <c r="A1024" s="489" t="s">
        <v>1647</v>
      </c>
      <c r="B1024" s="18"/>
      <c r="C1024" s="18"/>
      <c r="D1024" s="18"/>
      <c r="E1024" s="18"/>
      <c r="F1024" s="18"/>
      <c r="G1024" s="18"/>
      <c r="H1024" s="18"/>
      <c r="I1024" s="18">
        <v>2153894</v>
      </c>
      <c r="J1024" s="18"/>
      <c r="K1024" s="18"/>
      <c r="L1024" s="18"/>
      <c r="M1024" s="18"/>
      <c r="N1024" s="18">
        <v>2153894</v>
      </c>
    </row>
    <row r="1025" spans="1:14">
      <c r="A1025" s="489" t="s">
        <v>1437</v>
      </c>
      <c r="B1025" s="18"/>
      <c r="C1025" s="18"/>
      <c r="D1025" s="18"/>
      <c r="E1025" s="18"/>
      <c r="F1025" s="18"/>
      <c r="G1025" s="18"/>
      <c r="H1025" s="18"/>
      <c r="I1025" s="18">
        <v>480000</v>
      </c>
      <c r="J1025" s="18"/>
      <c r="K1025" s="18"/>
      <c r="L1025" s="18"/>
      <c r="M1025" s="18"/>
      <c r="N1025" s="18">
        <v>480000</v>
      </c>
    </row>
    <row r="1026" spans="1:14">
      <c r="A1026" s="489" t="s">
        <v>1227</v>
      </c>
      <c r="B1026" s="18"/>
      <c r="C1026" s="18"/>
      <c r="D1026" s="18"/>
      <c r="E1026" s="18"/>
      <c r="F1026" s="18"/>
      <c r="G1026" s="18"/>
      <c r="H1026" s="18"/>
      <c r="I1026" s="18">
        <v>30000</v>
      </c>
      <c r="J1026" s="18"/>
      <c r="K1026" s="18"/>
      <c r="L1026" s="18"/>
      <c r="M1026" s="18"/>
      <c r="N1026" s="18">
        <v>30000</v>
      </c>
    </row>
    <row r="1027" spans="1:14">
      <c r="A1027" s="489" t="s">
        <v>1017</v>
      </c>
      <c r="B1027" s="18"/>
      <c r="C1027" s="18"/>
      <c r="D1027" s="18"/>
      <c r="E1027" s="18"/>
      <c r="F1027" s="18"/>
      <c r="G1027" s="18"/>
      <c r="H1027" s="18"/>
      <c r="I1027" s="18"/>
      <c r="J1027" s="18"/>
      <c r="K1027" s="18"/>
      <c r="L1027" s="18"/>
      <c r="M1027" s="18"/>
      <c r="N1027" s="18"/>
    </row>
    <row r="1028" spans="1:14">
      <c r="A1028" s="347" t="s">
        <v>1858</v>
      </c>
      <c r="B1028" s="18"/>
      <c r="C1028" s="18"/>
      <c r="D1028" s="18"/>
      <c r="E1028" s="18"/>
      <c r="F1028" s="18"/>
      <c r="G1028" s="18"/>
      <c r="H1028" s="18"/>
      <c r="I1028" s="18">
        <v>1260005</v>
      </c>
      <c r="J1028" s="18"/>
      <c r="K1028" s="18"/>
      <c r="L1028" s="18"/>
      <c r="M1028" s="18"/>
      <c r="N1028" s="18">
        <v>1260005</v>
      </c>
    </row>
    <row r="1029" spans="1:14">
      <c r="A1029" s="347" t="s">
        <v>1648</v>
      </c>
      <c r="B1029" s="18"/>
      <c r="C1029" s="18"/>
      <c r="D1029" s="18"/>
      <c r="E1029" s="18"/>
      <c r="F1029" s="18"/>
      <c r="G1029" s="18"/>
      <c r="H1029" s="18"/>
      <c r="I1029" s="18">
        <v>2153894</v>
      </c>
      <c r="J1029" s="18"/>
      <c r="K1029" s="18"/>
      <c r="L1029" s="18"/>
      <c r="M1029" s="18"/>
      <c r="N1029" s="18">
        <v>2153894</v>
      </c>
    </row>
    <row r="1030" spans="1:14">
      <c r="A1030" s="347" t="s">
        <v>1438</v>
      </c>
      <c r="B1030" s="18"/>
      <c r="C1030" s="18"/>
      <c r="D1030" s="18"/>
      <c r="E1030" s="18"/>
      <c r="F1030" s="18"/>
      <c r="G1030" s="18"/>
      <c r="H1030" s="18"/>
      <c r="I1030" s="18">
        <v>480000</v>
      </c>
      <c r="J1030" s="18"/>
      <c r="K1030" s="18"/>
      <c r="L1030" s="18"/>
      <c r="M1030" s="18"/>
      <c r="N1030" s="18">
        <v>480000</v>
      </c>
    </row>
    <row r="1031" spans="1:14">
      <c r="A1031" s="347" t="s">
        <v>1228</v>
      </c>
      <c r="B1031" s="18"/>
      <c r="C1031" s="18"/>
      <c r="D1031" s="18"/>
      <c r="E1031" s="18"/>
      <c r="F1031" s="18"/>
      <c r="G1031" s="18"/>
      <c r="H1031" s="18"/>
      <c r="I1031" s="18">
        <v>30000</v>
      </c>
      <c r="J1031" s="18"/>
      <c r="K1031" s="18"/>
      <c r="L1031" s="18"/>
      <c r="M1031" s="18"/>
      <c r="N1031" s="18">
        <v>30000</v>
      </c>
    </row>
    <row r="1032" spans="1:14">
      <c r="A1032" s="347" t="s">
        <v>1018</v>
      </c>
      <c r="B1032" s="18"/>
      <c r="C1032" s="18"/>
      <c r="D1032" s="18"/>
      <c r="E1032" s="18"/>
      <c r="F1032" s="18"/>
      <c r="G1032" s="18"/>
      <c r="H1032" s="18"/>
      <c r="I1032" s="18"/>
      <c r="J1032" s="18"/>
      <c r="K1032" s="18"/>
      <c r="L1032" s="18"/>
      <c r="M1032" s="18"/>
      <c r="N1032" s="18"/>
    </row>
    <row r="1033" spans="1:14">
      <c r="A1033" s="19" t="s">
        <v>1859</v>
      </c>
      <c r="B1033" s="18"/>
      <c r="C1033" s="18"/>
      <c r="D1033" s="18"/>
      <c r="E1033" s="18"/>
      <c r="F1033" s="18"/>
      <c r="G1033" s="18"/>
      <c r="H1033" s="18"/>
      <c r="I1033" s="18">
        <v>1260005</v>
      </c>
      <c r="J1033" s="18"/>
      <c r="K1033" s="18"/>
      <c r="L1033" s="18"/>
      <c r="M1033" s="18"/>
      <c r="N1033" s="18">
        <v>1260005</v>
      </c>
    </row>
    <row r="1034" spans="1:14">
      <c r="A1034" s="19" t="s">
        <v>1649</v>
      </c>
      <c r="B1034" s="18"/>
      <c r="C1034" s="18"/>
      <c r="D1034" s="18"/>
      <c r="E1034" s="18"/>
      <c r="F1034" s="18"/>
      <c r="G1034" s="18"/>
      <c r="H1034" s="18"/>
      <c r="I1034" s="18">
        <v>2153894</v>
      </c>
      <c r="J1034" s="18"/>
      <c r="K1034" s="18"/>
      <c r="L1034" s="18"/>
      <c r="M1034" s="18"/>
      <c r="N1034" s="18">
        <v>2153894</v>
      </c>
    </row>
    <row r="1035" spans="1:14">
      <c r="A1035" s="19" t="s">
        <v>1439</v>
      </c>
      <c r="B1035" s="18"/>
      <c r="C1035" s="18"/>
      <c r="D1035" s="18"/>
      <c r="E1035" s="18"/>
      <c r="F1035" s="18"/>
      <c r="G1035" s="18"/>
      <c r="H1035" s="18"/>
      <c r="I1035" s="18">
        <v>480000</v>
      </c>
      <c r="J1035" s="18"/>
      <c r="K1035" s="18"/>
      <c r="L1035" s="18"/>
      <c r="M1035" s="18"/>
      <c r="N1035" s="18">
        <v>480000</v>
      </c>
    </row>
    <row r="1036" spans="1:14">
      <c r="A1036" s="19" t="s">
        <v>1229</v>
      </c>
      <c r="B1036" s="18"/>
      <c r="C1036" s="18"/>
      <c r="D1036" s="18"/>
      <c r="E1036" s="18"/>
      <c r="F1036" s="18"/>
      <c r="G1036" s="18"/>
      <c r="H1036" s="18"/>
      <c r="I1036" s="18">
        <v>30000</v>
      </c>
      <c r="J1036" s="18"/>
      <c r="K1036" s="18"/>
      <c r="L1036" s="18"/>
      <c r="M1036" s="18"/>
      <c r="N1036" s="18">
        <v>30000</v>
      </c>
    </row>
    <row r="1037" spans="1:14">
      <c r="A1037" s="19" t="s">
        <v>1019</v>
      </c>
      <c r="B1037" s="18"/>
      <c r="C1037" s="18"/>
      <c r="D1037" s="18"/>
      <c r="E1037" s="18"/>
      <c r="F1037" s="18"/>
      <c r="G1037" s="18"/>
      <c r="H1037" s="18"/>
      <c r="I1037" s="18"/>
      <c r="J1037" s="18"/>
      <c r="K1037" s="18"/>
      <c r="L1037" s="18"/>
      <c r="M1037" s="18"/>
      <c r="N1037" s="18"/>
    </row>
    <row r="1038" spans="1:14">
      <c r="A1038" s="4" t="s">
        <v>1860</v>
      </c>
      <c r="B1038" s="18"/>
      <c r="C1038" s="18"/>
      <c r="D1038" s="18"/>
      <c r="E1038" s="18"/>
      <c r="F1038" s="18"/>
      <c r="G1038" s="18"/>
      <c r="H1038" s="18"/>
      <c r="I1038" s="18">
        <v>1260005</v>
      </c>
      <c r="J1038" s="18"/>
      <c r="K1038" s="18"/>
      <c r="L1038" s="18"/>
      <c r="M1038" s="18"/>
      <c r="N1038" s="18">
        <v>1260005</v>
      </c>
    </row>
    <row r="1039" spans="1:14">
      <c r="A1039" s="4" t="s">
        <v>1650</v>
      </c>
      <c r="B1039" s="18"/>
      <c r="C1039" s="18"/>
      <c r="D1039" s="18"/>
      <c r="E1039" s="18"/>
      <c r="F1039" s="18"/>
      <c r="G1039" s="18"/>
      <c r="H1039" s="18"/>
      <c r="I1039" s="18">
        <v>2153894</v>
      </c>
      <c r="J1039" s="18"/>
      <c r="K1039" s="18"/>
      <c r="L1039" s="18"/>
      <c r="M1039" s="18"/>
      <c r="N1039" s="18">
        <v>2153894</v>
      </c>
    </row>
    <row r="1040" spans="1:14">
      <c r="A1040" s="4" t="s">
        <v>1440</v>
      </c>
      <c r="B1040" s="18"/>
      <c r="C1040" s="18"/>
      <c r="D1040" s="18"/>
      <c r="E1040" s="18"/>
      <c r="F1040" s="18"/>
      <c r="G1040" s="18"/>
      <c r="H1040" s="18"/>
      <c r="I1040" s="18">
        <v>480000</v>
      </c>
      <c r="J1040" s="18"/>
      <c r="K1040" s="18"/>
      <c r="L1040" s="18"/>
      <c r="M1040" s="18"/>
      <c r="N1040" s="18">
        <v>480000</v>
      </c>
    </row>
    <row r="1041" spans="1:14">
      <c r="A1041" s="4" t="s">
        <v>1230</v>
      </c>
      <c r="B1041" s="18"/>
      <c r="C1041" s="18"/>
      <c r="D1041" s="18"/>
      <c r="E1041" s="18"/>
      <c r="F1041" s="18"/>
      <c r="G1041" s="18"/>
      <c r="H1041" s="18"/>
      <c r="I1041" s="18">
        <v>30000</v>
      </c>
      <c r="J1041" s="18"/>
      <c r="K1041" s="18"/>
      <c r="L1041" s="18"/>
      <c r="M1041" s="18"/>
      <c r="N1041" s="18">
        <v>30000</v>
      </c>
    </row>
    <row r="1042" spans="1:14">
      <c r="A1042" s="4" t="s">
        <v>1020</v>
      </c>
      <c r="B1042" s="18"/>
      <c r="C1042" s="18"/>
      <c r="D1042" s="18"/>
      <c r="E1042" s="18"/>
      <c r="F1042" s="18"/>
      <c r="G1042" s="18"/>
      <c r="H1042" s="18"/>
      <c r="I1042" s="18"/>
      <c r="J1042" s="18"/>
      <c r="K1042" s="18"/>
      <c r="L1042" s="18"/>
      <c r="M1042" s="18"/>
      <c r="N1042" s="18"/>
    </row>
    <row r="1043" spans="1:14">
      <c r="A1043" s="4">
        <v>1263947</v>
      </c>
      <c r="B1043" s="18"/>
      <c r="C1043" s="18"/>
      <c r="D1043" s="18"/>
      <c r="E1043" s="18"/>
      <c r="F1043" s="18"/>
      <c r="G1043" s="18"/>
      <c r="H1043" s="18"/>
      <c r="I1043" s="18"/>
      <c r="J1043" s="18"/>
      <c r="K1043" s="18"/>
      <c r="L1043" s="18"/>
      <c r="M1043" s="18"/>
      <c r="N1043" s="18"/>
    </row>
    <row r="1044" spans="1:14">
      <c r="A1044" s="19">
        <v>656000</v>
      </c>
      <c r="B1044" s="18"/>
      <c r="C1044" s="18"/>
      <c r="D1044" s="18"/>
      <c r="E1044" s="18"/>
      <c r="F1044" s="18"/>
      <c r="G1044" s="18"/>
      <c r="H1044" s="18"/>
      <c r="I1044" s="18"/>
      <c r="J1044" s="18"/>
      <c r="K1044" s="18"/>
      <c r="L1044" s="18"/>
      <c r="M1044" s="18"/>
      <c r="N1044" s="18"/>
    </row>
    <row r="1045" spans="1:14">
      <c r="A1045" s="347">
        <v>2105582</v>
      </c>
      <c r="B1045" s="18"/>
      <c r="C1045" s="18"/>
      <c r="D1045" s="18"/>
      <c r="E1045" s="18"/>
      <c r="F1045" s="18"/>
      <c r="G1045" s="18"/>
      <c r="H1045" s="18"/>
      <c r="I1045" s="18"/>
      <c r="J1045" s="18"/>
      <c r="K1045" s="18"/>
      <c r="L1045" s="18"/>
      <c r="M1045" s="18"/>
      <c r="N1045" s="18"/>
    </row>
    <row r="1046" spans="1:14">
      <c r="A1046" s="489" t="s">
        <v>733</v>
      </c>
      <c r="B1046" s="18"/>
      <c r="C1046" s="18"/>
      <c r="D1046" s="18"/>
      <c r="E1046" s="18"/>
      <c r="F1046" s="18"/>
      <c r="G1046" s="18"/>
      <c r="H1046" s="18"/>
      <c r="I1046" s="18"/>
      <c r="J1046" s="18"/>
      <c r="K1046" s="18"/>
      <c r="L1046" s="18"/>
      <c r="M1046" s="18"/>
      <c r="N1046" s="18"/>
    </row>
    <row r="1047" spans="1:14">
      <c r="A1047" s="753" t="s">
        <v>733</v>
      </c>
      <c r="B1047" s="18"/>
      <c r="C1047" s="18"/>
      <c r="D1047" s="18"/>
      <c r="E1047" s="18"/>
      <c r="F1047" s="18"/>
      <c r="G1047" s="18"/>
      <c r="H1047" s="18"/>
      <c r="I1047" s="18"/>
      <c r="J1047" s="18"/>
      <c r="K1047" s="18"/>
      <c r="L1047" s="18"/>
      <c r="M1047" s="18"/>
      <c r="N1047" s="18"/>
    </row>
    <row r="1048" spans="1:14">
      <c r="A1048" s="754" t="s">
        <v>898</v>
      </c>
      <c r="B1048" s="18"/>
      <c r="C1048" s="18"/>
      <c r="D1048" s="18"/>
      <c r="E1048" s="18"/>
      <c r="F1048" s="18"/>
      <c r="G1048" s="18"/>
      <c r="H1048" s="18">
        <v>1263947</v>
      </c>
      <c r="I1048" s="18"/>
      <c r="J1048" s="18"/>
      <c r="K1048" s="18"/>
      <c r="L1048" s="18"/>
      <c r="M1048" s="18"/>
      <c r="N1048" s="18">
        <v>1263947</v>
      </c>
    </row>
    <row r="1049" spans="1:14">
      <c r="A1049" s="754" t="s">
        <v>901</v>
      </c>
      <c r="B1049" s="18"/>
      <c r="C1049" s="18"/>
      <c r="D1049" s="18"/>
      <c r="E1049" s="18"/>
      <c r="F1049" s="18"/>
      <c r="G1049" s="18"/>
      <c r="H1049" s="18">
        <v>2105582</v>
      </c>
      <c r="I1049" s="18"/>
      <c r="J1049" s="18"/>
      <c r="K1049" s="18"/>
      <c r="L1049" s="18"/>
      <c r="M1049" s="18"/>
      <c r="N1049" s="18">
        <v>2105582</v>
      </c>
    </row>
    <row r="1050" spans="1:14">
      <c r="A1050" s="754" t="s">
        <v>903</v>
      </c>
      <c r="B1050" s="18"/>
      <c r="C1050" s="18"/>
      <c r="D1050" s="18"/>
      <c r="E1050" s="18"/>
      <c r="F1050" s="18"/>
      <c r="G1050" s="18"/>
      <c r="H1050" s="18">
        <v>656000</v>
      </c>
      <c r="I1050" s="18"/>
      <c r="J1050" s="18"/>
      <c r="K1050" s="18"/>
      <c r="L1050" s="18"/>
      <c r="M1050" s="18"/>
      <c r="N1050" s="18">
        <v>656000</v>
      </c>
    </row>
    <row r="1051" spans="1:14">
      <c r="A1051" s="754" t="s">
        <v>905</v>
      </c>
      <c r="B1051" s="18"/>
      <c r="C1051" s="18"/>
      <c r="D1051" s="18"/>
      <c r="E1051" s="18"/>
      <c r="F1051" s="18"/>
      <c r="G1051" s="18"/>
      <c r="H1051" s="18"/>
      <c r="I1051" s="18"/>
      <c r="J1051" s="18"/>
      <c r="K1051" s="18"/>
      <c r="L1051" s="18"/>
      <c r="M1051" s="18"/>
      <c r="N1051" s="18"/>
    </row>
    <row r="1052" spans="1:14">
      <c r="A1052" s="754" t="s">
        <v>174</v>
      </c>
      <c r="B1052" s="18"/>
      <c r="C1052" s="18"/>
      <c r="D1052" s="18"/>
      <c r="E1052" s="18"/>
      <c r="F1052" s="18"/>
      <c r="G1052" s="18"/>
      <c r="H1052" s="18"/>
      <c r="I1052" s="18"/>
      <c r="J1052" s="18"/>
      <c r="K1052" s="18"/>
      <c r="L1052" s="18"/>
      <c r="M1052" s="18"/>
      <c r="N1052" s="18"/>
    </row>
    <row r="1053" spans="1:14">
      <c r="A1053" s="489" t="s">
        <v>1750</v>
      </c>
      <c r="B1053" s="18"/>
      <c r="C1053" s="18"/>
      <c r="D1053" s="18"/>
      <c r="E1053" s="18"/>
      <c r="F1053" s="18"/>
      <c r="G1053" s="18"/>
      <c r="H1053" s="18">
        <v>1263947</v>
      </c>
      <c r="I1053" s="18"/>
      <c r="J1053" s="18"/>
      <c r="K1053" s="18"/>
      <c r="L1053" s="18"/>
      <c r="M1053" s="18"/>
      <c r="N1053" s="18">
        <v>1263947</v>
      </c>
    </row>
    <row r="1054" spans="1:14">
      <c r="A1054" s="489" t="s">
        <v>1540</v>
      </c>
      <c r="B1054" s="18"/>
      <c r="C1054" s="18"/>
      <c r="D1054" s="18"/>
      <c r="E1054" s="18"/>
      <c r="F1054" s="18"/>
      <c r="G1054" s="18"/>
      <c r="H1054" s="18">
        <v>2105582</v>
      </c>
      <c r="I1054" s="18"/>
      <c r="J1054" s="18"/>
      <c r="K1054" s="18"/>
      <c r="L1054" s="18"/>
      <c r="M1054" s="18"/>
      <c r="N1054" s="18">
        <v>2105582</v>
      </c>
    </row>
    <row r="1055" spans="1:14">
      <c r="A1055" s="489" t="s">
        <v>1330</v>
      </c>
      <c r="B1055" s="18"/>
      <c r="C1055" s="18"/>
      <c r="D1055" s="18"/>
      <c r="E1055" s="18"/>
      <c r="F1055" s="18"/>
      <c r="G1055" s="18"/>
      <c r="H1055" s="18">
        <v>656000</v>
      </c>
      <c r="I1055" s="18"/>
      <c r="J1055" s="18"/>
      <c r="K1055" s="18"/>
      <c r="L1055" s="18"/>
      <c r="M1055" s="18"/>
      <c r="N1055" s="18">
        <v>656000</v>
      </c>
    </row>
    <row r="1056" spans="1:14">
      <c r="A1056" s="489" t="s">
        <v>1120</v>
      </c>
      <c r="B1056" s="18"/>
      <c r="C1056" s="18"/>
      <c r="D1056" s="18"/>
      <c r="E1056" s="18"/>
      <c r="F1056" s="18"/>
      <c r="G1056" s="18"/>
      <c r="H1056" s="18"/>
      <c r="I1056" s="18"/>
      <c r="J1056" s="18"/>
      <c r="K1056" s="18"/>
      <c r="L1056" s="18"/>
      <c r="M1056" s="18"/>
      <c r="N1056" s="18"/>
    </row>
    <row r="1057" spans="1:14">
      <c r="A1057" s="489" t="s">
        <v>910</v>
      </c>
      <c r="B1057" s="18"/>
      <c r="C1057" s="18"/>
      <c r="D1057" s="18"/>
      <c r="E1057" s="18"/>
      <c r="F1057" s="18"/>
      <c r="G1057" s="18"/>
      <c r="H1057" s="18"/>
      <c r="I1057" s="18"/>
      <c r="J1057" s="18"/>
      <c r="K1057" s="18"/>
      <c r="L1057" s="18"/>
      <c r="M1057" s="18"/>
      <c r="N1057" s="18"/>
    </row>
    <row r="1058" spans="1:14">
      <c r="A1058" s="347" t="s">
        <v>1861</v>
      </c>
      <c r="B1058" s="18"/>
      <c r="C1058" s="18"/>
      <c r="D1058" s="18"/>
      <c r="E1058" s="18"/>
      <c r="F1058" s="18"/>
      <c r="G1058" s="18"/>
      <c r="H1058" s="18">
        <v>1263947</v>
      </c>
      <c r="I1058" s="18"/>
      <c r="J1058" s="18"/>
      <c r="K1058" s="18"/>
      <c r="L1058" s="18"/>
      <c r="M1058" s="18"/>
      <c r="N1058" s="18">
        <v>1263947</v>
      </c>
    </row>
    <row r="1059" spans="1:14">
      <c r="A1059" s="347" t="s">
        <v>1651</v>
      </c>
      <c r="B1059" s="18"/>
      <c r="C1059" s="18"/>
      <c r="D1059" s="18"/>
      <c r="E1059" s="18"/>
      <c r="F1059" s="18"/>
      <c r="G1059" s="18"/>
      <c r="H1059" s="18">
        <v>2105582</v>
      </c>
      <c r="I1059" s="18"/>
      <c r="J1059" s="18"/>
      <c r="K1059" s="18"/>
      <c r="L1059" s="18"/>
      <c r="M1059" s="18"/>
      <c r="N1059" s="18">
        <v>2105582</v>
      </c>
    </row>
    <row r="1060" spans="1:14">
      <c r="A1060" s="347" t="s">
        <v>1441</v>
      </c>
      <c r="B1060" s="18"/>
      <c r="C1060" s="18"/>
      <c r="D1060" s="18"/>
      <c r="E1060" s="18"/>
      <c r="F1060" s="18"/>
      <c r="G1060" s="18"/>
      <c r="H1060" s="18">
        <v>656000</v>
      </c>
      <c r="I1060" s="18"/>
      <c r="J1060" s="18"/>
      <c r="K1060" s="18"/>
      <c r="L1060" s="18"/>
      <c r="M1060" s="18"/>
      <c r="N1060" s="18">
        <v>656000</v>
      </c>
    </row>
    <row r="1061" spans="1:14">
      <c r="A1061" s="347" t="s">
        <v>1231</v>
      </c>
      <c r="B1061" s="18"/>
      <c r="C1061" s="18"/>
      <c r="D1061" s="18"/>
      <c r="E1061" s="18"/>
      <c r="F1061" s="18"/>
      <c r="G1061" s="18"/>
      <c r="H1061" s="18"/>
      <c r="I1061" s="18"/>
      <c r="J1061" s="18"/>
      <c r="K1061" s="18"/>
      <c r="L1061" s="18"/>
      <c r="M1061" s="18"/>
      <c r="N1061" s="18"/>
    </row>
    <row r="1062" spans="1:14">
      <c r="A1062" s="347" t="s">
        <v>1021</v>
      </c>
      <c r="B1062" s="18"/>
      <c r="C1062" s="18"/>
      <c r="D1062" s="18"/>
      <c r="E1062" s="18"/>
      <c r="F1062" s="18"/>
      <c r="G1062" s="18"/>
      <c r="H1062" s="18"/>
      <c r="I1062" s="18"/>
      <c r="J1062" s="18"/>
      <c r="K1062" s="18"/>
      <c r="L1062" s="18"/>
      <c r="M1062" s="18"/>
      <c r="N1062" s="18"/>
    </row>
    <row r="1063" spans="1:14">
      <c r="A1063" s="19" t="s">
        <v>1862</v>
      </c>
      <c r="B1063" s="18"/>
      <c r="C1063" s="18"/>
      <c r="D1063" s="18"/>
      <c r="E1063" s="18"/>
      <c r="F1063" s="18"/>
      <c r="G1063" s="18"/>
      <c r="H1063" s="18">
        <v>1263947</v>
      </c>
      <c r="I1063" s="18"/>
      <c r="J1063" s="18"/>
      <c r="K1063" s="18"/>
      <c r="L1063" s="18"/>
      <c r="M1063" s="18"/>
      <c r="N1063" s="18">
        <v>1263947</v>
      </c>
    </row>
    <row r="1064" spans="1:14">
      <c r="A1064" s="19" t="s">
        <v>1652</v>
      </c>
      <c r="B1064" s="18"/>
      <c r="C1064" s="18"/>
      <c r="D1064" s="18"/>
      <c r="E1064" s="18"/>
      <c r="F1064" s="18"/>
      <c r="G1064" s="18"/>
      <c r="H1064" s="18">
        <v>2105582</v>
      </c>
      <c r="I1064" s="18"/>
      <c r="J1064" s="18"/>
      <c r="K1064" s="18"/>
      <c r="L1064" s="18"/>
      <c r="M1064" s="18"/>
      <c r="N1064" s="18">
        <v>2105582</v>
      </c>
    </row>
    <row r="1065" spans="1:14">
      <c r="A1065" s="19" t="s">
        <v>1442</v>
      </c>
      <c r="B1065" s="18"/>
      <c r="C1065" s="18"/>
      <c r="D1065" s="18"/>
      <c r="E1065" s="18"/>
      <c r="F1065" s="18"/>
      <c r="G1065" s="18"/>
      <c r="H1065" s="18">
        <v>656000</v>
      </c>
      <c r="I1065" s="18"/>
      <c r="J1065" s="18"/>
      <c r="K1065" s="18"/>
      <c r="L1065" s="18"/>
      <c r="M1065" s="18"/>
      <c r="N1065" s="18">
        <v>656000</v>
      </c>
    </row>
    <row r="1066" spans="1:14">
      <c r="A1066" s="19" t="s">
        <v>1232</v>
      </c>
      <c r="B1066" s="18"/>
      <c r="C1066" s="18"/>
      <c r="D1066" s="18"/>
      <c r="E1066" s="18"/>
      <c r="F1066" s="18"/>
      <c r="G1066" s="18"/>
      <c r="H1066" s="18"/>
      <c r="I1066" s="18"/>
      <c r="J1066" s="18"/>
      <c r="K1066" s="18"/>
      <c r="L1066" s="18"/>
      <c r="M1066" s="18"/>
      <c r="N1066" s="18"/>
    </row>
    <row r="1067" spans="1:14">
      <c r="A1067" s="19" t="s">
        <v>1022</v>
      </c>
      <c r="B1067" s="18"/>
      <c r="C1067" s="18"/>
      <c r="D1067" s="18"/>
      <c r="E1067" s="18"/>
      <c r="F1067" s="18"/>
      <c r="G1067" s="18"/>
      <c r="H1067" s="18"/>
      <c r="I1067" s="18"/>
      <c r="J1067" s="18"/>
      <c r="K1067" s="18"/>
      <c r="L1067" s="18"/>
      <c r="M1067" s="18"/>
      <c r="N1067" s="18"/>
    </row>
    <row r="1068" spans="1:14">
      <c r="A1068" s="4" t="s">
        <v>1863</v>
      </c>
      <c r="B1068" s="18"/>
      <c r="C1068" s="18"/>
      <c r="D1068" s="18"/>
      <c r="E1068" s="18"/>
      <c r="F1068" s="18"/>
      <c r="G1068" s="18"/>
      <c r="H1068" s="18">
        <v>1263947</v>
      </c>
      <c r="I1068" s="18"/>
      <c r="J1068" s="18"/>
      <c r="K1068" s="18"/>
      <c r="L1068" s="18"/>
      <c r="M1068" s="18"/>
      <c r="N1068" s="18">
        <v>1263947</v>
      </c>
    </row>
    <row r="1069" spans="1:14">
      <c r="A1069" s="4" t="s">
        <v>1653</v>
      </c>
      <c r="B1069" s="18"/>
      <c r="C1069" s="18"/>
      <c r="D1069" s="18"/>
      <c r="E1069" s="18"/>
      <c r="F1069" s="18"/>
      <c r="G1069" s="18"/>
      <c r="H1069" s="18">
        <v>2105582</v>
      </c>
      <c r="I1069" s="18"/>
      <c r="J1069" s="18"/>
      <c r="K1069" s="18"/>
      <c r="L1069" s="18"/>
      <c r="M1069" s="18"/>
      <c r="N1069" s="18">
        <v>2105582</v>
      </c>
    </row>
    <row r="1070" spans="1:14">
      <c r="A1070" s="4" t="s">
        <v>1443</v>
      </c>
      <c r="B1070" s="18"/>
      <c r="C1070" s="18"/>
      <c r="D1070" s="18"/>
      <c r="E1070" s="18"/>
      <c r="F1070" s="18"/>
      <c r="G1070" s="18"/>
      <c r="H1070" s="18">
        <v>656000</v>
      </c>
      <c r="I1070" s="18"/>
      <c r="J1070" s="18"/>
      <c r="K1070" s="18"/>
      <c r="L1070" s="18"/>
      <c r="M1070" s="18"/>
      <c r="N1070" s="18">
        <v>656000</v>
      </c>
    </row>
    <row r="1071" spans="1:14">
      <c r="A1071" s="4" t="s">
        <v>1233</v>
      </c>
      <c r="B1071" s="18"/>
      <c r="C1071" s="18"/>
      <c r="D1071" s="18"/>
      <c r="E1071" s="18"/>
      <c r="F1071" s="18"/>
      <c r="G1071" s="18"/>
      <c r="H1071" s="18"/>
      <c r="I1071" s="18"/>
      <c r="J1071" s="18"/>
      <c r="K1071" s="18"/>
      <c r="L1071" s="18"/>
      <c r="M1071" s="18"/>
      <c r="N1071" s="18"/>
    </row>
    <row r="1072" spans="1:14">
      <c r="A1072" s="4" t="s">
        <v>1023</v>
      </c>
      <c r="B1072" s="18"/>
      <c r="C1072" s="18"/>
      <c r="D1072" s="18"/>
      <c r="E1072" s="18"/>
      <c r="F1072" s="18"/>
      <c r="G1072" s="18"/>
      <c r="H1072" s="18"/>
      <c r="I1072" s="18"/>
      <c r="J1072" s="18"/>
      <c r="K1072" s="18"/>
      <c r="L1072" s="18"/>
      <c r="M1072" s="18"/>
      <c r="N1072" s="18"/>
    </row>
    <row r="1073" spans="1:14">
      <c r="A1073" s="4">
        <v>1296418.3899999999</v>
      </c>
      <c r="B1073" s="18"/>
      <c r="C1073" s="18"/>
      <c r="D1073" s="18"/>
      <c r="E1073" s="18"/>
      <c r="F1073" s="18"/>
      <c r="G1073" s="18"/>
      <c r="H1073" s="18"/>
      <c r="I1073" s="18"/>
      <c r="J1073" s="18"/>
      <c r="K1073" s="18"/>
      <c r="L1073" s="18"/>
      <c r="M1073" s="18"/>
      <c r="N1073" s="18"/>
    </row>
    <row r="1074" spans="1:14">
      <c r="A1074" s="19">
        <v>442750</v>
      </c>
      <c r="B1074" s="18"/>
      <c r="C1074" s="18"/>
      <c r="D1074" s="18"/>
      <c r="E1074" s="18"/>
      <c r="F1074" s="18"/>
      <c r="G1074" s="18"/>
      <c r="H1074" s="18"/>
      <c r="I1074" s="18"/>
      <c r="J1074" s="18"/>
      <c r="K1074" s="18"/>
      <c r="L1074" s="18"/>
      <c r="M1074" s="18"/>
      <c r="N1074" s="18"/>
    </row>
    <row r="1075" spans="1:14">
      <c r="A1075" s="347">
        <v>1784577</v>
      </c>
      <c r="B1075" s="18"/>
      <c r="C1075" s="18"/>
      <c r="D1075" s="18"/>
      <c r="E1075" s="18"/>
      <c r="F1075" s="18"/>
      <c r="G1075" s="18"/>
      <c r="H1075" s="18"/>
      <c r="I1075" s="18"/>
      <c r="J1075" s="18"/>
      <c r="K1075" s="18"/>
      <c r="L1075" s="18"/>
      <c r="M1075" s="18"/>
      <c r="N1075" s="18"/>
    </row>
    <row r="1076" spans="1:14">
      <c r="A1076" s="489">
        <v>112859.97</v>
      </c>
      <c r="B1076" s="18"/>
      <c r="C1076" s="18"/>
      <c r="D1076" s="18"/>
      <c r="E1076" s="18"/>
      <c r="F1076" s="18"/>
      <c r="G1076" s="18"/>
      <c r="H1076" s="18"/>
      <c r="I1076" s="18"/>
      <c r="J1076" s="18"/>
      <c r="K1076" s="18"/>
      <c r="L1076" s="18"/>
      <c r="M1076" s="18"/>
      <c r="N1076" s="18"/>
    </row>
    <row r="1077" spans="1:14">
      <c r="A1077" s="753">
        <v>369004</v>
      </c>
      <c r="B1077" s="18"/>
      <c r="C1077" s="18"/>
      <c r="D1077" s="18"/>
      <c r="E1077" s="18"/>
      <c r="F1077" s="18"/>
      <c r="G1077" s="18"/>
      <c r="H1077" s="18"/>
      <c r="I1077" s="18"/>
      <c r="J1077" s="18"/>
      <c r="K1077" s="18"/>
      <c r="L1077" s="18"/>
      <c r="M1077" s="18"/>
      <c r="N1077" s="18"/>
    </row>
    <row r="1078" spans="1:14">
      <c r="A1078" s="754" t="s">
        <v>898</v>
      </c>
      <c r="B1078" s="18"/>
      <c r="C1078" s="18"/>
      <c r="D1078" s="18"/>
      <c r="E1078" s="18"/>
      <c r="F1078" s="18">
        <v>1296418.3899999999</v>
      </c>
      <c r="G1078" s="18"/>
      <c r="H1078" s="18"/>
      <c r="I1078" s="18"/>
      <c r="J1078" s="18"/>
      <c r="K1078" s="18"/>
      <c r="L1078" s="18"/>
      <c r="M1078" s="18"/>
      <c r="N1078" s="18">
        <v>1296418.3899999999</v>
      </c>
    </row>
    <row r="1079" spans="1:14">
      <c r="A1079" s="754" t="s">
        <v>901</v>
      </c>
      <c r="B1079" s="18"/>
      <c r="C1079" s="18"/>
      <c r="D1079" s="18"/>
      <c r="E1079" s="18"/>
      <c r="F1079" s="18">
        <v>1784577</v>
      </c>
      <c r="G1079" s="18"/>
      <c r="H1079" s="18"/>
      <c r="I1079" s="18"/>
      <c r="J1079" s="18"/>
      <c r="K1079" s="18"/>
      <c r="L1079" s="18"/>
      <c r="M1079" s="18"/>
      <c r="N1079" s="18">
        <v>1784577</v>
      </c>
    </row>
    <row r="1080" spans="1:14">
      <c r="A1080" s="754" t="s">
        <v>903</v>
      </c>
      <c r="B1080" s="18"/>
      <c r="C1080" s="18"/>
      <c r="D1080" s="18"/>
      <c r="E1080" s="18"/>
      <c r="F1080" s="18">
        <v>442750</v>
      </c>
      <c r="G1080" s="18"/>
      <c r="H1080" s="18"/>
      <c r="I1080" s="18"/>
      <c r="J1080" s="18"/>
      <c r="K1080" s="18"/>
      <c r="L1080" s="18"/>
      <c r="M1080" s="18"/>
      <c r="N1080" s="18">
        <v>442750</v>
      </c>
    </row>
    <row r="1081" spans="1:14">
      <c r="A1081" s="754" t="s">
        <v>905</v>
      </c>
      <c r="B1081" s="18"/>
      <c r="C1081" s="18"/>
      <c r="D1081" s="18"/>
      <c r="E1081" s="18"/>
      <c r="F1081" s="18">
        <v>112859.97</v>
      </c>
      <c r="G1081" s="18"/>
      <c r="H1081" s="18"/>
      <c r="I1081" s="18"/>
      <c r="J1081" s="18"/>
      <c r="K1081" s="18"/>
      <c r="L1081" s="18"/>
      <c r="M1081" s="18"/>
      <c r="N1081" s="18">
        <v>112859.97</v>
      </c>
    </row>
    <row r="1082" spans="1:14">
      <c r="A1082" s="754" t="s">
        <v>174</v>
      </c>
      <c r="B1082" s="18"/>
      <c r="C1082" s="18"/>
      <c r="D1082" s="18"/>
      <c r="E1082" s="18"/>
      <c r="F1082" s="18">
        <v>369004</v>
      </c>
      <c r="G1082" s="18"/>
      <c r="H1082" s="18"/>
      <c r="I1082" s="18"/>
      <c r="J1082" s="18"/>
      <c r="K1082" s="18"/>
      <c r="L1082" s="18"/>
      <c r="M1082" s="18"/>
      <c r="N1082" s="18">
        <v>369004</v>
      </c>
    </row>
    <row r="1083" spans="1:14">
      <c r="A1083" s="489" t="s">
        <v>1864</v>
      </c>
      <c r="B1083" s="18"/>
      <c r="C1083" s="18"/>
      <c r="D1083" s="18"/>
      <c r="E1083" s="18"/>
      <c r="F1083" s="18">
        <v>1296418.3899999999</v>
      </c>
      <c r="G1083" s="18"/>
      <c r="H1083" s="18"/>
      <c r="I1083" s="18"/>
      <c r="J1083" s="18"/>
      <c r="K1083" s="18"/>
      <c r="L1083" s="18"/>
      <c r="M1083" s="18"/>
      <c r="N1083" s="18">
        <v>1296418.3899999999</v>
      </c>
    </row>
    <row r="1084" spans="1:14">
      <c r="A1084" s="489" t="s">
        <v>1654</v>
      </c>
      <c r="B1084" s="18"/>
      <c r="C1084" s="18"/>
      <c r="D1084" s="18"/>
      <c r="E1084" s="18"/>
      <c r="F1084" s="18">
        <v>1784577</v>
      </c>
      <c r="G1084" s="18"/>
      <c r="H1084" s="18"/>
      <c r="I1084" s="18"/>
      <c r="J1084" s="18"/>
      <c r="K1084" s="18"/>
      <c r="L1084" s="18"/>
      <c r="M1084" s="18"/>
      <c r="N1084" s="18">
        <v>1784577</v>
      </c>
    </row>
    <row r="1085" spans="1:14">
      <c r="A1085" s="489" t="s">
        <v>1444</v>
      </c>
      <c r="B1085" s="18"/>
      <c r="C1085" s="18"/>
      <c r="D1085" s="18"/>
      <c r="E1085" s="18"/>
      <c r="F1085" s="18">
        <v>442750</v>
      </c>
      <c r="G1085" s="18"/>
      <c r="H1085" s="18"/>
      <c r="I1085" s="18"/>
      <c r="J1085" s="18"/>
      <c r="K1085" s="18"/>
      <c r="L1085" s="18"/>
      <c r="M1085" s="18"/>
      <c r="N1085" s="18">
        <v>442750</v>
      </c>
    </row>
    <row r="1086" spans="1:14">
      <c r="A1086" s="489" t="s">
        <v>1234</v>
      </c>
      <c r="B1086" s="18"/>
      <c r="C1086" s="18"/>
      <c r="D1086" s="18"/>
      <c r="E1086" s="18"/>
      <c r="F1086" s="18">
        <v>112859.97</v>
      </c>
      <c r="G1086" s="18"/>
      <c r="H1086" s="18"/>
      <c r="I1086" s="18"/>
      <c r="J1086" s="18"/>
      <c r="K1086" s="18"/>
      <c r="L1086" s="18"/>
      <c r="M1086" s="18"/>
      <c r="N1086" s="18">
        <v>112859.97</v>
      </c>
    </row>
    <row r="1087" spans="1:14">
      <c r="A1087" s="489" t="s">
        <v>1024</v>
      </c>
      <c r="B1087" s="18"/>
      <c r="C1087" s="18"/>
      <c r="D1087" s="18"/>
      <c r="E1087" s="18"/>
      <c r="F1087" s="18">
        <v>369004</v>
      </c>
      <c r="G1087" s="18"/>
      <c r="H1087" s="18"/>
      <c r="I1087" s="18"/>
      <c r="J1087" s="18"/>
      <c r="K1087" s="18"/>
      <c r="L1087" s="18"/>
      <c r="M1087" s="18"/>
      <c r="N1087" s="18">
        <v>369004</v>
      </c>
    </row>
    <row r="1088" spans="1:14">
      <c r="A1088" s="347" t="s">
        <v>1865</v>
      </c>
      <c r="B1088" s="18"/>
      <c r="C1088" s="18"/>
      <c r="D1088" s="18"/>
      <c r="E1088" s="18"/>
      <c r="F1088" s="18">
        <v>1296418.3899999999</v>
      </c>
      <c r="G1088" s="18"/>
      <c r="H1088" s="18"/>
      <c r="I1088" s="18"/>
      <c r="J1088" s="18"/>
      <c r="K1088" s="18"/>
      <c r="L1088" s="18"/>
      <c r="M1088" s="18"/>
      <c r="N1088" s="18">
        <v>1296418.3899999999</v>
      </c>
    </row>
    <row r="1089" spans="1:14">
      <c r="A1089" s="347" t="s">
        <v>1655</v>
      </c>
      <c r="B1089" s="18"/>
      <c r="C1089" s="18"/>
      <c r="D1089" s="18"/>
      <c r="E1089" s="18"/>
      <c r="F1089" s="18">
        <v>1784577</v>
      </c>
      <c r="G1089" s="18"/>
      <c r="H1089" s="18"/>
      <c r="I1089" s="18"/>
      <c r="J1089" s="18"/>
      <c r="K1089" s="18"/>
      <c r="L1089" s="18"/>
      <c r="M1089" s="18"/>
      <c r="N1089" s="18">
        <v>1784577</v>
      </c>
    </row>
    <row r="1090" spans="1:14">
      <c r="A1090" s="347" t="s">
        <v>1445</v>
      </c>
      <c r="B1090" s="18"/>
      <c r="C1090" s="18"/>
      <c r="D1090" s="18"/>
      <c r="E1090" s="18"/>
      <c r="F1090" s="18">
        <v>442750</v>
      </c>
      <c r="G1090" s="18"/>
      <c r="H1090" s="18"/>
      <c r="I1090" s="18"/>
      <c r="J1090" s="18"/>
      <c r="K1090" s="18"/>
      <c r="L1090" s="18"/>
      <c r="M1090" s="18"/>
      <c r="N1090" s="18">
        <v>442750</v>
      </c>
    </row>
    <row r="1091" spans="1:14">
      <c r="A1091" s="347" t="s">
        <v>1235</v>
      </c>
      <c r="B1091" s="18"/>
      <c r="C1091" s="18"/>
      <c r="D1091" s="18"/>
      <c r="E1091" s="18"/>
      <c r="F1091" s="18">
        <v>112859.97</v>
      </c>
      <c r="G1091" s="18"/>
      <c r="H1091" s="18"/>
      <c r="I1091" s="18"/>
      <c r="J1091" s="18"/>
      <c r="K1091" s="18"/>
      <c r="L1091" s="18"/>
      <c r="M1091" s="18"/>
      <c r="N1091" s="18">
        <v>112859.97</v>
      </c>
    </row>
    <row r="1092" spans="1:14">
      <c r="A1092" s="347" t="s">
        <v>1025</v>
      </c>
      <c r="B1092" s="18"/>
      <c r="C1092" s="18"/>
      <c r="D1092" s="18"/>
      <c r="E1092" s="18"/>
      <c r="F1092" s="18">
        <v>369004</v>
      </c>
      <c r="G1092" s="18"/>
      <c r="H1092" s="18"/>
      <c r="I1092" s="18"/>
      <c r="J1092" s="18"/>
      <c r="K1092" s="18"/>
      <c r="L1092" s="18"/>
      <c r="M1092" s="18"/>
      <c r="N1092" s="18">
        <v>369004</v>
      </c>
    </row>
    <row r="1093" spans="1:14">
      <c r="A1093" s="19" t="s">
        <v>1866</v>
      </c>
      <c r="B1093" s="18"/>
      <c r="C1093" s="18"/>
      <c r="D1093" s="18"/>
      <c r="E1093" s="18"/>
      <c r="F1093" s="18">
        <v>1296418.3899999999</v>
      </c>
      <c r="G1093" s="18"/>
      <c r="H1093" s="18"/>
      <c r="I1093" s="18"/>
      <c r="J1093" s="18"/>
      <c r="K1093" s="18"/>
      <c r="L1093" s="18"/>
      <c r="M1093" s="18"/>
      <c r="N1093" s="18">
        <v>1296418.3899999999</v>
      </c>
    </row>
    <row r="1094" spans="1:14">
      <c r="A1094" s="19" t="s">
        <v>1656</v>
      </c>
      <c r="B1094" s="18"/>
      <c r="C1094" s="18"/>
      <c r="D1094" s="18"/>
      <c r="E1094" s="18"/>
      <c r="F1094" s="18">
        <v>1784577</v>
      </c>
      <c r="G1094" s="18"/>
      <c r="H1094" s="18"/>
      <c r="I1094" s="18"/>
      <c r="J1094" s="18"/>
      <c r="K1094" s="18"/>
      <c r="L1094" s="18"/>
      <c r="M1094" s="18"/>
      <c r="N1094" s="18">
        <v>1784577</v>
      </c>
    </row>
    <row r="1095" spans="1:14">
      <c r="A1095" s="19" t="s">
        <v>1446</v>
      </c>
      <c r="B1095" s="18"/>
      <c r="C1095" s="18"/>
      <c r="D1095" s="18"/>
      <c r="E1095" s="18"/>
      <c r="F1095" s="18">
        <v>442750</v>
      </c>
      <c r="G1095" s="18"/>
      <c r="H1095" s="18"/>
      <c r="I1095" s="18"/>
      <c r="J1095" s="18"/>
      <c r="K1095" s="18"/>
      <c r="L1095" s="18"/>
      <c r="M1095" s="18"/>
      <c r="N1095" s="18">
        <v>442750</v>
      </c>
    </row>
    <row r="1096" spans="1:14">
      <c r="A1096" s="19" t="s">
        <v>1236</v>
      </c>
      <c r="B1096" s="18"/>
      <c r="C1096" s="18"/>
      <c r="D1096" s="18"/>
      <c r="E1096" s="18"/>
      <c r="F1096" s="18">
        <v>112859.97</v>
      </c>
      <c r="G1096" s="18"/>
      <c r="H1096" s="18"/>
      <c r="I1096" s="18"/>
      <c r="J1096" s="18"/>
      <c r="K1096" s="18"/>
      <c r="L1096" s="18"/>
      <c r="M1096" s="18"/>
      <c r="N1096" s="18">
        <v>112859.97</v>
      </c>
    </row>
    <row r="1097" spans="1:14">
      <c r="A1097" s="19" t="s">
        <v>1026</v>
      </c>
      <c r="B1097" s="18"/>
      <c r="C1097" s="18"/>
      <c r="D1097" s="18"/>
      <c r="E1097" s="18"/>
      <c r="F1097" s="18">
        <v>369004</v>
      </c>
      <c r="G1097" s="18"/>
      <c r="H1097" s="18"/>
      <c r="I1097" s="18"/>
      <c r="J1097" s="18"/>
      <c r="K1097" s="18"/>
      <c r="L1097" s="18"/>
      <c r="M1097" s="18"/>
      <c r="N1097" s="18">
        <v>369004</v>
      </c>
    </row>
    <row r="1098" spans="1:14">
      <c r="A1098" s="4" t="s">
        <v>1867</v>
      </c>
      <c r="B1098" s="18"/>
      <c r="C1098" s="18"/>
      <c r="D1098" s="18"/>
      <c r="E1098" s="18"/>
      <c r="F1098" s="18">
        <v>1296418.3899999999</v>
      </c>
      <c r="G1098" s="18"/>
      <c r="H1098" s="18"/>
      <c r="I1098" s="18"/>
      <c r="J1098" s="18"/>
      <c r="K1098" s="18"/>
      <c r="L1098" s="18"/>
      <c r="M1098" s="18"/>
      <c r="N1098" s="18">
        <v>1296418.3899999999</v>
      </c>
    </row>
    <row r="1099" spans="1:14">
      <c r="A1099" s="4" t="s">
        <v>1657</v>
      </c>
      <c r="B1099" s="18"/>
      <c r="C1099" s="18"/>
      <c r="D1099" s="18"/>
      <c r="E1099" s="18"/>
      <c r="F1099" s="18">
        <v>1784577</v>
      </c>
      <c r="G1099" s="18"/>
      <c r="H1099" s="18"/>
      <c r="I1099" s="18"/>
      <c r="J1099" s="18"/>
      <c r="K1099" s="18"/>
      <c r="L1099" s="18"/>
      <c r="M1099" s="18"/>
      <c r="N1099" s="18">
        <v>1784577</v>
      </c>
    </row>
    <row r="1100" spans="1:14">
      <c r="A1100" s="4" t="s">
        <v>1447</v>
      </c>
      <c r="B1100" s="18"/>
      <c r="C1100" s="18"/>
      <c r="D1100" s="18"/>
      <c r="E1100" s="18"/>
      <c r="F1100" s="18">
        <v>442750</v>
      </c>
      <c r="G1100" s="18"/>
      <c r="H1100" s="18"/>
      <c r="I1100" s="18"/>
      <c r="J1100" s="18"/>
      <c r="K1100" s="18"/>
      <c r="L1100" s="18"/>
      <c r="M1100" s="18"/>
      <c r="N1100" s="18">
        <v>442750</v>
      </c>
    </row>
    <row r="1101" spans="1:14">
      <c r="A1101" s="4" t="s">
        <v>1237</v>
      </c>
      <c r="B1101" s="18"/>
      <c r="C1101" s="18"/>
      <c r="D1101" s="18"/>
      <c r="E1101" s="18"/>
      <c r="F1101" s="18">
        <v>112859.97</v>
      </c>
      <c r="G1101" s="18"/>
      <c r="H1101" s="18"/>
      <c r="I1101" s="18"/>
      <c r="J1101" s="18"/>
      <c r="K1101" s="18"/>
      <c r="L1101" s="18"/>
      <c r="M1101" s="18"/>
      <c r="N1101" s="18">
        <v>112859.97</v>
      </c>
    </row>
    <row r="1102" spans="1:14">
      <c r="A1102" s="4" t="s">
        <v>1027</v>
      </c>
      <c r="B1102" s="18"/>
      <c r="C1102" s="18"/>
      <c r="D1102" s="18"/>
      <c r="E1102" s="18"/>
      <c r="F1102" s="18">
        <v>369004</v>
      </c>
      <c r="G1102" s="18"/>
      <c r="H1102" s="18"/>
      <c r="I1102" s="18"/>
      <c r="J1102" s="18"/>
      <c r="K1102" s="18"/>
      <c r="L1102" s="18"/>
      <c r="M1102" s="18"/>
      <c r="N1102" s="18">
        <v>369004</v>
      </c>
    </row>
    <row r="1103" spans="1:14">
      <c r="A1103" s="4">
        <v>1301816</v>
      </c>
      <c r="B1103" s="18"/>
      <c r="C1103" s="18"/>
      <c r="D1103" s="18"/>
      <c r="E1103" s="18"/>
      <c r="F1103" s="18"/>
      <c r="G1103" s="18"/>
      <c r="H1103" s="18"/>
      <c r="I1103" s="18"/>
      <c r="J1103" s="18"/>
      <c r="K1103" s="18"/>
      <c r="L1103" s="18"/>
      <c r="M1103" s="18"/>
      <c r="N1103" s="18"/>
    </row>
    <row r="1104" spans="1:14">
      <c r="A1104" s="19">
        <v>520000</v>
      </c>
      <c r="B1104" s="18"/>
      <c r="C1104" s="18"/>
      <c r="D1104" s="18"/>
      <c r="E1104" s="18"/>
      <c r="F1104" s="18"/>
      <c r="G1104" s="18"/>
      <c r="H1104" s="18"/>
      <c r="I1104" s="18"/>
      <c r="J1104" s="18"/>
      <c r="K1104" s="18"/>
      <c r="L1104" s="18"/>
      <c r="M1104" s="18"/>
      <c r="N1104" s="18"/>
    </row>
    <row r="1105" spans="1:14">
      <c r="A1105" s="347">
        <v>2005966</v>
      </c>
      <c r="B1105" s="18"/>
      <c r="C1105" s="18"/>
      <c r="D1105" s="18"/>
      <c r="E1105" s="18"/>
      <c r="F1105" s="18"/>
      <c r="G1105" s="18"/>
      <c r="H1105" s="18"/>
      <c r="I1105" s="18"/>
      <c r="J1105" s="18"/>
      <c r="K1105" s="18"/>
      <c r="L1105" s="18"/>
      <c r="M1105" s="18"/>
      <c r="N1105" s="18"/>
    </row>
    <row r="1106" spans="1:14">
      <c r="A1106" s="489">
        <v>35600</v>
      </c>
      <c r="B1106" s="18"/>
      <c r="C1106" s="18"/>
      <c r="D1106" s="18"/>
      <c r="E1106" s="18"/>
      <c r="F1106" s="18"/>
      <c r="G1106" s="18"/>
      <c r="H1106" s="18"/>
      <c r="I1106" s="18"/>
      <c r="J1106" s="18"/>
      <c r="K1106" s="18"/>
      <c r="L1106" s="18"/>
      <c r="M1106" s="18"/>
      <c r="N1106" s="18"/>
    </row>
    <row r="1107" spans="1:14">
      <c r="A1107" s="753">
        <v>250000</v>
      </c>
      <c r="B1107" s="18"/>
      <c r="C1107" s="18"/>
      <c r="D1107" s="18"/>
      <c r="E1107" s="18"/>
      <c r="F1107" s="18"/>
      <c r="G1107" s="18"/>
      <c r="H1107" s="18"/>
      <c r="I1107" s="18"/>
      <c r="J1107" s="18"/>
      <c r="K1107" s="18"/>
      <c r="L1107" s="18"/>
      <c r="M1107" s="18"/>
      <c r="N1107" s="18"/>
    </row>
    <row r="1108" spans="1:14">
      <c r="A1108" s="754" t="s">
        <v>898</v>
      </c>
      <c r="B1108" s="18"/>
      <c r="C1108" s="18"/>
      <c r="D1108" s="18"/>
      <c r="E1108" s="18"/>
      <c r="F1108" s="18"/>
      <c r="G1108" s="18"/>
      <c r="H1108" s="18"/>
      <c r="I1108" s="18">
        <v>1301816</v>
      </c>
      <c r="J1108" s="18"/>
      <c r="K1108" s="18"/>
      <c r="L1108" s="18"/>
      <c r="M1108" s="18"/>
      <c r="N1108" s="18">
        <v>1301816</v>
      </c>
    </row>
    <row r="1109" spans="1:14">
      <c r="A1109" s="754" t="s">
        <v>901</v>
      </c>
      <c r="B1109" s="18"/>
      <c r="C1109" s="18"/>
      <c r="D1109" s="18"/>
      <c r="E1109" s="18"/>
      <c r="F1109" s="18"/>
      <c r="G1109" s="18"/>
      <c r="H1109" s="18"/>
      <c r="I1109" s="18">
        <v>2005966</v>
      </c>
      <c r="J1109" s="18"/>
      <c r="K1109" s="18"/>
      <c r="L1109" s="18"/>
      <c r="M1109" s="18"/>
      <c r="N1109" s="18">
        <v>2005966</v>
      </c>
    </row>
    <row r="1110" spans="1:14">
      <c r="A1110" s="754" t="s">
        <v>903</v>
      </c>
      <c r="B1110" s="18"/>
      <c r="C1110" s="18"/>
      <c r="D1110" s="18"/>
      <c r="E1110" s="18"/>
      <c r="F1110" s="18"/>
      <c r="G1110" s="18"/>
      <c r="H1110" s="18"/>
      <c r="I1110" s="18">
        <v>520000</v>
      </c>
      <c r="J1110" s="18"/>
      <c r="K1110" s="18"/>
      <c r="L1110" s="18"/>
      <c r="M1110" s="18"/>
      <c r="N1110" s="18">
        <v>520000</v>
      </c>
    </row>
    <row r="1111" spans="1:14">
      <c r="A1111" s="754" t="s">
        <v>905</v>
      </c>
      <c r="B1111" s="18"/>
      <c r="C1111" s="18"/>
      <c r="D1111" s="18"/>
      <c r="E1111" s="18"/>
      <c r="F1111" s="18"/>
      <c r="G1111" s="18"/>
      <c r="H1111" s="18"/>
      <c r="I1111" s="18">
        <v>35600</v>
      </c>
      <c r="J1111" s="18"/>
      <c r="K1111" s="18"/>
      <c r="L1111" s="18"/>
      <c r="M1111" s="18"/>
      <c r="N1111" s="18">
        <v>35600</v>
      </c>
    </row>
    <row r="1112" spans="1:14">
      <c r="A1112" s="754" t="s">
        <v>174</v>
      </c>
      <c r="B1112" s="18"/>
      <c r="C1112" s="18"/>
      <c r="D1112" s="18"/>
      <c r="E1112" s="18"/>
      <c r="F1112" s="18"/>
      <c r="G1112" s="18"/>
      <c r="H1112" s="18"/>
      <c r="I1112" s="18">
        <v>250000</v>
      </c>
      <c r="J1112" s="18"/>
      <c r="K1112" s="18"/>
      <c r="L1112" s="18"/>
      <c r="M1112" s="18"/>
      <c r="N1112" s="18">
        <v>250000</v>
      </c>
    </row>
    <row r="1113" spans="1:14">
      <c r="A1113" s="489" t="s">
        <v>1868</v>
      </c>
      <c r="B1113" s="18"/>
      <c r="C1113" s="18"/>
      <c r="D1113" s="18"/>
      <c r="E1113" s="18"/>
      <c r="F1113" s="18"/>
      <c r="G1113" s="18"/>
      <c r="H1113" s="18"/>
      <c r="I1113" s="18">
        <v>1301816</v>
      </c>
      <c r="J1113" s="18"/>
      <c r="K1113" s="18"/>
      <c r="L1113" s="18"/>
      <c r="M1113" s="18"/>
      <c r="N1113" s="18">
        <v>1301816</v>
      </c>
    </row>
    <row r="1114" spans="1:14">
      <c r="A1114" s="489" t="s">
        <v>1658</v>
      </c>
      <c r="B1114" s="18"/>
      <c r="C1114" s="18"/>
      <c r="D1114" s="18"/>
      <c r="E1114" s="18"/>
      <c r="F1114" s="18"/>
      <c r="G1114" s="18"/>
      <c r="H1114" s="18"/>
      <c r="I1114" s="18">
        <v>2005966</v>
      </c>
      <c r="J1114" s="18"/>
      <c r="K1114" s="18"/>
      <c r="L1114" s="18"/>
      <c r="M1114" s="18"/>
      <c r="N1114" s="18">
        <v>2005966</v>
      </c>
    </row>
    <row r="1115" spans="1:14">
      <c r="A1115" s="489" t="s">
        <v>1448</v>
      </c>
      <c r="B1115" s="18"/>
      <c r="C1115" s="18"/>
      <c r="D1115" s="18"/>
      <c r="E1115" s="18"/>
      <c r="F1115" s="18"/>
      <c r="G1115" s="18"/>
      <c r="H1115" s="18"/>
      <c r="I1115" s="18">
        <v>520000</v>
      </c>
      <c r="J1115" s="18"/>
      <c r="K1115" s="18"/>
      <c r="L1115" s="18"/>
      <c r="M1115" s="18"/>
      <c r="N1115" s="18">
        <v>520000</v>
      </c>
    </row>
    <row r="1116" spans="1:14">
      <c r="A1116" s="489" t="s">
        <v>1238</v>
      </c>
      <c r="B1116" s="18"/>
      <c r="C1116" s="18"/>
      <c r="D1116" s="18"/>
      <c r="E1116" s="18"/>
      <c r="F1116" s="18"/>
      <c r="G1116" s="18"/>
      <c r="H1116" s="18"/>
      <c r="I1116" s="18">
        <v>35600</v>
      </c>
      <c r="J1116" s="18"/>
      <c r="K1116" s="18"/>
      <c r="L1116" s="18"/>
      <c r="M1116" s="18"/>
      <c r="N1116" s="18">
        <v>35600</v>
      </c>
    </row>
    <row r="1117" spans="1:14">
      <c r="A1117" s="489" t="s">
        <v>1028</v>
      </c>
      <c r="B1117" s="18"/>
      <c r="C1117" s="18"/>
      <c r="D1117" s="18"/>
      <c r="E1117" s="18"/>
      <c r="F1117" s="18"/>
      <c r="G1117" s="18"/>
      <c r="H1117" s="18"/>
      <c r="I1117" s="18">
        <v>250000</v>
      </c>
      <c r="J1117" s="18"/>
      <c r="K1117" s="18"/>
      <c r="L1117" s="18"/>
      <c r="M1117" s="18"/>
      <c r="N1117" s="18">
        <v>250000</v>
      </c>
    </row>
    <row r="1118" spans="1:14">
      <c r="A1118" s="347" t="s">
        <v>1869</v>
      </c>
      <c r="B1118" s="18"/>
      <c r="C1118" s="18"/>
      <c r="D1118" s="18"/>
      <c r="E1118" s="18"/>
      <c r="F1118" s="18"/>
      <c r="G1118" s="18"/>
      <c r="H1118" s="18"/>
      <c r="I1118" s="18">
        <v>1301816</v>
      </c>
      <c r="J1118" s="18"/>
      <c r="K1118" s="18"/>
      <c r="L1118" s="18"/>
      <c r="M1118" s="18"/>
      <c r="N1118" s="18">
        <v>1301816</v>
      </c>
    </row>
    <row r="1119" spans="1:14">
      <c r="A1119" s="347" t="s">
        <v>1659</v>
      </c>
      <c r="B1119" s="18"/>
      <c r="C1119" s="18"/>
      <c r="D1119" s="18"/>
      <c r="E1119" s="18"/>
      <c r="F1119" s="18"/>
      <c r="G1119" s="18"/>
      <c r="H1119" s="18"/>
      <c r="I1119" s="18">
        <v>2005966</v>
      </c>
      <c r="J1119" s="18"/>
      <c r="K1119" s="18"/>
      <c r="L1119" s="18"/>
      <c r="M1119" s="18"/>
      <c r="N1119" s="18">
        <v>2005966</v>
      </c>
    </row>
    <row r="1120" spans="1:14">
      <c r="A1120" s="347" t="s">
        <v>1449</v>
      </c>
      <c r="B1120" s="18"/>
      <c r="C1120" s="18"/>
      <c r="D1120" s="18"/>
      <c r="E1120" s="18"/>
      <c r="F1120" s="18"/>
      <c r="G1120" s="18"/>
      <c r="H1120" s="18"/>
      <c r="I1120" s="18">
        <v>520000</v>
      </c>
      <c r="J1120" s="18"/>
      <c r="K1120" s="18"/>
      <c r="L1120" s="18"/>
      <c r="M1120" s="18"/>
      <c r="N1120" s="18">
        <v>520000</v>
      </c>
    </row>
    <row r="1121" spans="1:14">
      <c r="A1121" s="347" t="s">
        <v>1239</v>
      </c>
      <c r="B1121" s="18"/>
      <c r="C1121" s="18"/>
      <c r="D1121" s="18"/>
      <c r="E1121" s="18"/>
      <c r="F1121" s="18"/>
      <c r="G1121" s="18"/>
      <c r="H1121" s="18"/>
      <c r="I1121" s="18">
        <v>35600</v>
      </c>
      <c r="J1121" s="18"/>
      <c r="K1121" s="18"/>
      <c r="L1121" s="18"/>
      <c r="M1121" s="18"/>
      <c r="N1121" s="18">
        <v>35600</v>
      </c>
    </row>
    <row r="1122" spans="1:14">
      <c r="A1122" s="347" t="s">
        <v>1029</v>
      </c>
      <c r="B1122" s="18"/>
      <c r="C1122" s="18"/>
      <c r="D1122" s="18"/>
      <c r="E1122" s="18"/>
      <c r="F1122" s="18"/>
      <c r="G1122" s="18"/>
      <c r="H1122" s="18"/>
      <c r="I1122" s="18">
        <v>250000</v>
      </c>
      <c r="J1122" s="18"/>
      <c r="K1122" s="18"/>
      <c r="L1122" s="18"/>
      <c r="M1122" s="18"/>
      <c r="N1122" s="18">
        <v>250000</v>
      </c>
    </row>
    <row r="1123" spans="1:14">
      <c r="A1123" s="19" t="s">
        <v>1870</v>
      </c>
      <c r="B1123" s="18"/>
      <c r="C1123" s="18"/>
      <c r="D1123" s="18"/>
      <c r="E1123" s="18"/>
      <c r="F1123" s="18"/>
      <c r="G1123" s="18"/>
      <c r="H1123" s="18"/>
      <c r="I1123" s="18">
        <v>1301816</v>
      </c>
      <c r="J1123" s="18"/>
      <c r="K1123" s="18"/>
      <c r="L1123" s="18"/>
      <c r="M1123" s="18"/>
      <c r="N1123" s="18">
        <v>1301816</v>
      </c>
    </row>
    <row r="1124" spans="1:14">
      <c r="A1124" s="19" t="s">
        <v>1660</v>
      </c>
      <c r="B1124" s="18"/>
      <c r="C1124" s="18"/>
      <c r="D1124" s="18"/>
      <c r="E1124" s="18"/>
      <c r="F1124" s="18"/>
      <c r="G1124" s="18"/>
      <c r="H1124" s="18"/>
      <c r="I1124" s="18">
        <v>2005966</v>
      </c>
      <c r="J1124" s="18"/>
      <c r="K1124" s="18"/>
      <c r="L1124" s="18"/>
      <c r="M1124" s="18"/>
      <c r="N1124" s="18">
        <v>2005966</v>
      </c>
    </row>
    <row r="1125" spans="1:14">
      <c r="A1125" s="19" t="s">
        <v>1450</v>
      </c>
      <c r="B1125" s="18"/>
      <c r="C1125" s="18"/>
      <c r="D1125" s="18"/>
      <c r="E1125" s="18"/>
      <c r="F1125" s="18"/>
      <c r="G1125" s="18"/>
      <c r="H1125" s="18"/>
      <c r="I1125" s="18">
        <v>520000</v>
      </c>
      <c r="J1125" s="18"/>
      <c r="K1125" s="18"/>
      <c r="L1125" s="18"/>
      <c r="M1125" s="18"/>
      <c r="N1125" s="18">
        <v>520000</v>
      </c>
    </row>
    <row r="1126" spans="1:14">
      <c r="A1126" s="19" t="s">
        <v>1240</v>
      </c>
      <c r="B1126" s="18"/>
      <c r="C1126" s="18"/>
      <c r="D1126" s="18"/>
      <c r="E1126" s="18"/>
      <c r="F1126" s="18"/>
      <c r="G1126" s="18"/>
      <c r="H1126" s="18"/>
      <c r="I1126" s="18">
        <v>35600</v>
      </c>
      <c r="J1126" s="18"/>
      <c r="K1126" s="18"/>
      <c r="L1126" s="18"/>
      <c r="M1126" s="18"/>
      <c r="N1126" s="18">
        <v>35600</v>
      </c>
    </row>
    <row r="1127" spans="1:14">
      <c r="A1127" s="19" t="s">
        <v>1030</v>
      </c>
      <c r="B1127" s="18"/>
      <c r="C1127" s="18"/>
      <c r="D1127" s="18"/>
      <c r="E1127" s="18"/>
      <c r="F1127" s="18"/>
      <c r="G1127" s="18"/>
      <c r="H1127" s="18"/>
      <c r="I1127" s="18">
        <v>250000</v>
      </c>
      <c r="J1127" s="18"/>
      <c r="K1127" s="18"/>
      <c r="L1127" s="18"/>
      <c r="M1127" s="18"/>
      <c r="N1127" s="18">
        <v>250000</v>
      </c>
    </row>
    <row r="1128" spans="1:14">
      <c r="A1128" s="4" t="s">
        <v>1871</v>
      </c>
      <c r="B1128" s="18"/>
      <c r="C1128" s="18"/>
      <c r="D1128" s="18"/>
      <c r="E1128" s="18"/>
      <c r="F1128" s="18"/>
      <c r="G1128" s="18"/>
      <c r="H1128" s="18"/>
      <c r="I1128" s="18">
        <v>1301816</v>
      </c>
      <c r="J1128" s="18"/>
      <c r="K1128" s="18"/>
      <c r="L1128" s="18"/>
      <c r="M1128" s="18"/>
      <c r="N1128" s="18">
        <v>1301816</v>
      </c>
    </row>
    <row r="1129" spans="1:14">
      <c r="A1129" s="4" t="s">
        <v>1661</v>
      </c>
      <c r="B1129" s="18"/>
      <c r="C1129" s="18"/>
      <c r="D1129" s="18"/>
      <c r="E1129" s="18"/>
      <c r="F1129" s="18"/>
      <c r="G1129" s="18"/>
      <c r="H1129" s="18"/>
      <c r="I1129" s="18">
        <v>2005966</v>
      </c>
      <c r="J1129" s="18"/>
      <c r="K1129" s="18"/>
      <c r="L1129" s="18"/>
      <c r="M1129" s="18"/>
      <c r="N1129" s="18">
        <v>2005966</v>
      </c>
    </row>
    <row r="1130" spans="1:14">
      <c r="A1130" s="4" t="s">
        <v>1451</v>
      </c>
      <c r="B1130" s="18"/>
      <c r="C1130" s="18"/>
      <c r="D1130" s="18"/>
      <c r="E1130" s="18"/>
      <c r="F1130" s="18"/>
      <c r="G1130" s="18"/>
      <c r="H1130" s="18"/>
      <c r="I1130" s="18">
        <v>520000</v>
      </c>
      <c r="J1130" s="18"/>
      <c r="K1130" s="18"/>
      <c r="L1130" s="18"/>
      <c r="M1130" s="18"/>
      <c r="N1130" s="18">
        <v>520000</v>
      </c>
    </row>
    <row r="1131" spans="1:14">
      <c r="A1131" s="4" t="s">
        <v>1241</v>
      </c>
      <c r="B1131" s="18"/>
      <c r="C1131" s="18"/>
      <c r="D1131" s="18"/>
      <c r="E1131" s="18"/>
      <c r="F1131" s="18"/>
      <c r="G1131" s="18"/>
      <c r="H1131" s="18"/>
      <c r="I1131" s="18">
        <v>35600</v>
      </c>
      <c r="J1131" s="18"/>
      <c r="K1131" s="18"/>
      <c r="L1131" s="18"/>
      <c r="M1131" s="18"/>
      <c r="N1131" s="18">
        <v>35600</v>
      </c>
    </row>
    <row r="1132" spans="1:14">
      <c r="A1132" s="4" t="s">
        <v>1031</v>
      </c>
      <c r="B1132" s="18"/>
      <c r="C1132" s="18"/>
      <c r="D1132" s="18"/>
      <c r="E1132" s="18"/>
      <c r="F1132" s="18"/>
      <c r="G1132" s="18"/>
      <c r="H1132" s="18"/>
      <c r="I1132" s="18">
        <v>250000</v>
      </c>
      <c r="J1132" s="18"/>
      <c r="K1132" s="18"/>
      <c r="L1132" s="18"/>
      <c r="M1132" s="18"/>
      <c r="N1132" s="18">
        <v>250000</v>
      </c>
    </row>
    <row r="1133" spans="1:14">
      <c r="A1133" s="4">
        <v>1462622</v>
      </c>
      <c r="B1133" s="18"/>
      <c r="C1133" s="18"/>
      <c r="D1133" s="18"/>
      <c r="E1133" s="18"/>
      <c r="F1133" s="18"/>
      <c r="G1133" s="18"/>
      <c r="H1133" s="18"/>
      <c r="I1133" s="18"/>
      <c r="J1133" s="18"/>
      <c r="K1133" s="18"/>
      <c r="L1133" s="18"/>
      <c r="M1133" s="18"/>
      <c r="N1133" s="18"/>
    </row>
    <row r="1134" spans="1:14">
      <c r="A1134" s="19">
        <v>600000</v>
      </c>
      <c r="B1134" s="18"/>
      <c r="C1134" s="18"/>
      <c r="D1134" s="18"/>
      <c r="E1134" s="18"/>
      <c r="F1134" s="18"/>
      <c r="G1134" s="18"/>
      <c r="H1134" s="18"/>
      <c r="I1134" s="18"/>
      <c r="J1134" s="18"/>
      <c r="K1134" s="18"/>
      <c r="L1134" s="18"/>
      <c r="M1134" s="18"/>
      <c r="N1134" s="18"/>
    </row>
    <row r="1135" spans="1:14">
      <c r="A1135" s="347">
        <v>2706086</v>
      </c>
      <c r="B1135" s="18"/>
      <c r="C1135" s="18"/>
      <c r="D1135" s="18"/>
      <c r="E1135" s="18"/>
      <c r="F1135" s="18"/>
      <c r="G1135" s="18"/>
      <c r="H1135" s="18"/>
      <c r="I1135" s="18"/>
      <c r="J1135" s="18"/>
      <c r="K1135" s="18"/>
      <c r="L1135" s="18"/>
      <c r="M1135" s="18"/>
      <c r="N1135" s="18"/>
    </row>
    <row r="1136" spans="1:14">
      <c r="A1136" s="489">
        <v>0</v>
      </c>
      <c r="B1136" s="18"/>
      <c r="C1136" s="18"/>
      <c r="D1136" s="18"/>
      <c r="E1136" s="18"/>
      <c r="F1136" s="18"/>
      <c r="G1136" s="18"/>
      <c r="H1136" s="18"/>
      <c r="I1136" s="18"/>
      <c r="J1136" s="18"/>
      <c r="K1136" s="18"/>
      <c r="L1136" s="18"/>
      <c r="M1136" s="18"/>
      <c r="N1136" s="18"/>
    </row>
    <row r="1137" spans="1:14">
      <c r="A1137" s="753">
        <v>0</v>
      </c>
      <c r="B1137" s="18"/>
      <c r="C1137" s="18"/>
      <c r="D1137" s="18"/>
      <c r="E1137" s="18"/>
      <c r="F1137" s="18"/>
      <c r="G1137" s="18"/>
      <c r="H1137" s="18"/>
      <c r="I1137" s="18"/>
      <c r="J1137" s="18"/>
      <c r="K1137" s="18"/>
      <c r="L1137" s="18"/>
      <c r="M1137" s="18"/>
      <c r="N1137" s="18"/>
    </row>
    <row r="1138" spans="1:14">
      <c r="A1138" s="754" t="s">
        <v>898</v>
      </c>
      <c r="B1138" s="18"/>
      <c r="C1138" s="18"/>
      <c r="D1138" s="18"/>
      <c r="E1138" s="18"/>
      <c r="F1138" s="18">
        <v>1462622</v>
      </c>
      <c r="G1138" s="18"/>
      <c r="H1138" s="18"/>
      <c r="I1138" s="18"/>
      <c r="J1138" s="18"/>
      <c r="K1138" s="18"/>
      <c r="L1138" s="18"/>
      <c r="M1138" s="18"/>
      <c r="N1138" s="18">
        <v>1462622</v>
      </c>
    </row>
    <row r="1139" spans="1:14">
      <c r="A1139" s="754" t="s">
        <v>901</v>
      </c>
      <c r="B1139" s="18"/>
      <c r="C1139" s="18"/>
      <c r="D1139" s="18"/>
      <c r="E1139" s="18"/>
      <c r="F1139" s="18">
        <v>2706086</v>
      </c>
      <c r="G1139" s="18"/>
      <c r="H1139" s="18"/>
      <c r="I1139" s="18"/>
      <c r="J1139" s="18"/>
      <c r="K1139" s="18"/>
      <c r="L1139" s="18"/>
      <c r="M1139" s="18"/>
      <c r="N1139" s="18">
        <v>2706086</v>
      </c>
    </row>
    <row r="1140" spans="1:14">
      <c r="A1140" s="754" t="s">
        <v>903</v>
      </c>
      <c r="B1140" s="18"/>
      <c r="C1140" s="18"/>
      <c r="D1140" s="18"/>
      <c r="E1140" s="18"/>
      <c r="F1140" s="18">
        <v>600000</v>
      </c>
      <c r="G1140" s="18"/>
      <c r="H1140" s="18"/>
      <c r="I1140" s="18"/>
      <c r="J1140" s="18"/>
      <c r="K1140" s="18"/>
      <c r="L1140" s="18"/>
      <c r="M1140" s="18"/>
      <c r="N1140" s="18">
        <v>600000</v>
      </c>
    </row>
    <row r="1141" spans="1:14">
      <c r="A1141" s="754" t="s">
        <v>905</v>
      </c>
      <c r="B1141" s="18"/>
      <c r="C1141" s="18"/>
      <c r="D1141" s="18"/>
      <c r="E1141" s="18"/>
      <c r="F1141" s="18">
        <v>0</v>
      </c>
      <c r="G1141" s="18"/>
      <c r="H1141" s="18"/>
      <c r="I1141" s="18"/>
      <c r="J1141" s="18"/>
      <c r="K1141" s="18"/>
      <c r="L1141" s="18"/>
      <c r="M1141" s="18"/>
      <c r="N1141" s="18">
        <v>0</v>
      </c>
    </row>
    <row r="1142" spans="1:14">
      <c r="A1142" s="754" t="s">
        <v>174</v>
      </c>
      <c r="B1142" s="18"/>
      <c r="C1142" s="18"/>
      <c r="D1142" s="18"/>
      <c r="E1142" s="18"/>
      <c r="F1142" s="18">
        <v>0</v>
      </c>
      <c r="G1142" s="18"/>
      <c r="H1142" s="18"/>
      <c r="I1142" s="18"/>
      <c r="J1142" s="18"/>
      <c r="K1142" s="18"/>
      <c r="L1142" s="18"/>
      <c r="M1142" s="18"/>
      <c r="N1142" s="18">
        <v>0</v>
      </c>
    </row>
    <row r="1143" spans="1:14">
      <c r="A1143" s="489" t="s">
        <v>1755</v>
      </c>
      <c r="B1143" s="18"/>
      <c r="C1143" s="18"/>
      <c r="D1143" s="18"/>
      <c r="E1143" s="18"/>
      <c r="F1143" s="18">
        <v>1462622</v>
      </c>
      <c r="G1143" s="18"/>
      <c r="H1143" s="18"/>
      <c r="I1143" s="18"/>
      <c r="J1143" s="18"/>
      <c r="K1143" s="18"/>
      <c r="L1143" s="18"/>
      <c r="M1143" s="18"/>
      <c r="N1143" s="18">
        <v>1462622</v>
      </c>
    </row>
    <row r="1144" spans="1:14">
      <c r="A1144" s="489" t="s">
        <v>1545</v>
      </c>
      <c r="B1144" s="18"/>
      <c r="C1144" s="18"/>
      <c r="D1144" s="18"/>
      <c r="E1144" s="18"/>
      <c r="F1144" s="18">
        <v>2706086</v>
      </c>
      <c r="G1144" s="18"/>
      <c r="H1144" s="18"/>
      <c r="I1144" s="18"/>
      <c r="J1144" s="18"/>
      <c r="K1144" s="18"/>
      <c r="L1144" s="18"/>
      <c r="M1144" s="18"/>
      <c r="N1144" s="18">
        <v>2706086</v>
      </c>
    </row>
    <row r="1145" spans="1:14">
      <c r="A1145" s="489" t="s">
        <v>1335</v>
      </c>
      <c r="B1145" s="18"/>
      <c r="C1145" s="18"/>
      <c r="D1145" s="18"/>
      <c r="E1145" s="18"/>
      <c r="F1145" s="18">
        <v>600000</v>
      </c>
      <c r="G1145" s="18"/>
      <c r="H1145" s="18"/>
      <c r="I1145" s="18"/>
      <c r="J1145" s="18"/>
      <c r="K1145" s="18"/>
      <c r="L1145" s="18"/>
      <c r="M1145" s="18"/>
      <c r="N1145" s="18">
        <v>600000</v>
      </c>
    </row>
    <row r="1146" spans="1:14">
      <c r="A1146" s="489" t="s">
        <v>1125</v>
      </c>
      <c r="B1146" s="18"/>
      <c r="C1146" s="18"/>
      <c r="D1146" s="18"/>
      <c r="E1146" s="18"/>
      <c r="F1146" s="18">
        <v>0</v>
      </c>
      <c r="G1146" s="18"/>
      <c r="H1146" s="18"/>
      <c r="I1146" s="18"/>
      <c r="J1146" s="18"/>
      <c r="K1146" s="18"/>
      <c r="L1146" s="18"/>
      <c r="M1146" s="18"/>
      <c r="N1146" s="18">
        <v>0</v>
      </c>
    </row>
    <row r="1147" spans="1:14">
      <c r="A1147" s="489" t="s">
        <v>915</v>
      </c>
      <c r="B1147" s="18"/>
      <c r="C1147" s="18"/>
      <c r="D1147" s="18"/>
      <c r="E1147" s="18"/>
      <c r="F1147" s="18">
        <v>0</v>
      </c>
      <c r="G1147" s="18"/>
      <c r="H1147" s="18"/>
      <c r="I1147" s="18"/>
      <c r="J1147" s="18"/>
      <c r="K1147" s="18"/>
      <c r="L1147" s="18"/>
      <c r="M1147" s="18"/>
      <c r="N1147" s="18">
        <v>0</v>
      </c>
    </row>
    <row r="1148" spans="1:14">
      <c r="A1148" s="347" t="s">
        <v>1872</v>
      </c>
      <c r="B1148" s="18"/>
      <c r="C1148" s="18"/>
      <c r="D1148" s="18"/>
      <c r="E1148" s="18"/>
      <c r="F1148" s="18">
        <v>1462622</v>
      </c>
      <c r="G1148" s="18"/>
      <c r="H1148" s="18"/>
      <c r="I1148" s="18"/>
      <c r="J1148" s="18"/>
      <c r="K1148" s="18"/>
      <c r="L1148" s="18"/>
      <c r="M1148" s="18"/>
      <c r="N1148" s="18">
        <v>1462622</v>
      </c>
    </row>
    <row r="1149" spans="1:14">
      <c r="A1149" s="347" t="s">
        <v>1662</v>
      </c>
      <c r="B1149" s="18"/>
      <c r="C1149" s="18"/>
      <c r="D1149" s="18"/>
      <c r="E1149" s="18"/>
      <c r="F1149" s="18">
        <v>2706086</v>
      </c>
      <c r="G1149" s="18"/>
      <c r="H1149" s="18"/>
      <c r="I1149" s="18"/>
      <c r="J1149" s="18"/>
      <c r="K1149" s="18"/>
      <c r="L1149" s="18"/>
      <c r="M1149" s="18"/>
      <c r="N1149" s="18">
        <v>2706086</v>
      </c>
    </row>
    <row r="1150" spans="1:14">
      <c r="A1150" s="347" t="s">
        <v>1452</v>
      </c>
      <c r="B1150" s="18"/>
      <c r="C1150" s="18"/>
      <c r="D1150" s="18"/>
      <c r="E1150" s="18"/>
      <c r="F1150" s="18">
        <v>600000</v>
      </c>
      <c r="G1150" s="18"/>
      <c r="H1150" s="18"/>
      <c r="I1150" s="18"/>
      <c r="J1150" s="18"/>
      <c r="K1150" s="18"/>
      <c r="L1150" s="18"/>
      <c r="M1150" s="18"/>
      <c r="N1150" s="18">
        <v>600000</v>
      </c>
    </row>
    <row r="1151" spans="1:14">
      <c r="A1151" s="347" t="s">
        <v>1242</v>
      </c>
      <c r="B1151" s="18"/>
      <c r="C1151" s="18"/>
      <c r="D1151" s="18"/>
      <c r="E1151" s="18"/>
      <c r="F1151" s="18">
        <v>0</v>
      </c>
      <c r="G1151" s="18"/>
      <c r="H1151" s="18"/>
      <c r="I1151" s="18"/>
      <c r="J1151" s="18"/>
      <c r="K1151" s="18"/>
      <c r="L1151" s="18"/>
      <c r="M1151" s="18"/>
      <c r="N1151" s="18">
        <v>0</v>
      </c>
    </row>
    <row r="1152" spans="1:14">
      <c r="A1152" s="347" t="s">
        <v>1032</v>
      </c>
      <c r="B1152" s="18"/>
      <c r="C1152" s="18"/>
      <c r="D1152" s="18"/>
      <c r="E1152" s="18"/>
      <c r="F1152" s="18">
        <v>0</v>
      </c>
      <c r="G1152" s="18"/>
      <c r="H1152" s="18"/>
      <c r="I1152" s="18"/>
      <c r="J1152" s="18"/>
      <c r="K1152" s="18"/>
      <c r="L1152" s="18"/>
      <c r="M1152" s="18"/>
      <c r="N1152" s="18">
        <v>0</v>
      </c>
    </row>
    <row r="1153" spans="1:14">
      <c r="A1153" s="19" t="s">
        <v>1873</v>
      </c>
      <c r="B1153" s="18"/>
      <c r="C1153" s="18"/>
      <c r="D1153" s="18"/>
      <c r="E1153" s="18"/>
      <c r="F1153" s="18">
        <v>1462622</v>
      </c>
      <c r="G1153" s="18"/>
      <c r="H1153" s="18"/>
      <c r="I1153" s="18"/>
      <c r="J1153" s="18"/>
      <c r="K1153" s="18"/>
      <c r="L1153" s="18"/>
      <c r="M1153" s="18"/>
      <c r="N1153" s="18">
        <v>1462622</v>
      </c>
    </row>
    <row r="1154" spans="1:14">
      <c r="A1154" s="19" t="s">
        <v>1663</v>
      </c>
      <c r="B1154" s="18"/>
      <c r="C1154" s="18"/>
      <c r="D1154" s="18"/>
      <c r="E1154" s="18"/>
      <c r="F1154" s="18">
        <v>2706086</v>
      </c>
      <c r="G1154" s="18"/>
      <c r="H1154" s="18"/>
      <c r="I1154" s="18"/>
      <c r="J1154" s="18"/>
      <c r="K1154" s="18"/>
      <c r="L1154" s="18"/>
      <c r="M1154" s="18"/>
      <c r="N1154" s="18">
        <v>2706086</v>
      </c>
    </row>
    <row r="1155" spans="1:14">
      <c r="A1155" s="19" t="s">
        <v>1453</v>
      </c>
      <c r="B1155" s="18"/>
      <c r="C1155" s="18"/>
      <c r="D1155" s="18"/>
      <c r="E1155" s="18"/>
      <c r="F1155" s="18">
        <v>600000</v>
      </c>
      <c r="G1155" s="18"/>
      <c r="H1155" s="18"/>
      <c r="I1155" s="18"/>
      <c r="J1155" s="18"/>
      <c r="K1155" s="18"/>
      <c r="L1155" s="18"/>
      <c r="M1155" s="18"/>
      <c r="N1155" s="18">
        <v>600000</v>
      </c>
    </row>
    <row r="1156" spans="1:14">
      <c r="A1156" s="19" t="s">
        <v>1243</v>
      </c>
      <c r="B1156" s="18"/>
      <c r="C1156" s="18"/>
      <c r="D1156" s="18"/>
      <c r="E1156" s="18"/>
      <c r="F1156" s="18">
        <v>0</v>
      </c>
      <c r="G1156" s="18"/>
      <c r="H1156" s="18"/>
      <c r="I1156" s="18"/>
      <c r="J1156" s="18"/>
      <c r="K1156" s="18"/>
      <c r="L1156" s="18"/>
      <c r="M1156" s="18"/>
      <c r="N1156" s="18">
        <v>0</v>
      </c>
    </row>
    <row r="1157" spans="1:14">
      <c r="A1157" s="19" t="s">
        <v>1033</v>
      </c>
      <c r="B1157" s="18"/>
      <c r="C1157" s="18"/>
      <c r="D1157" s="18"/>
      <c r="E1157" s="18"/>
      <c r="F1157" s="18">
        <v>0</v>
      </c>
      <c r="G1157" s="18"/>
      <c r="H1157" s="18"/>
      <c r="I1157" s="18"/>
      <c r="J1157" s="18"/>
      <c r="K1157" s="18"/>
      <c r="L1157" s="18"/>
      <c r="M1157" s="18"/>
      <c r="N1157" s="18">
        <v>0</v>
      </c>
    </row>
    <row r="1158" spans="1:14">
      <c r="A1158" s="4" t="s">
        <v>1874</v>
      </c>
      <c r="B1158" s="18"/>
      <c r="C1158" s="18"/>
      <c r="D1158" s="18"/>
      <c r="E1158" s="18"/>
      <c r="F1158" s="18">
        <v>1462622</v>
      </c>
      <c r="G1158" s="18"/>
      <c r="H1158" s="18"/>
      <c r="I1158" s="18"/>
      <c r="J1158" s="18"/>
      <c r="K1158" s="18"/>
      <c r="L1158" s="18"/>
      <c r="M1158" s="18"/>
      <c r="N1158" s="18">
        <v>1462622</v>
      </c>
    </row>
    <row r="1159" spans="1:14">
      <c r="A1159" s="4" t="s">
        <v>1664</v>
      </c>
      <c r="B1159" s="18"/>
      <c r="C1159" s="18"/>
      <c r="D1159" s="18"/>
      <c r="E1159" s="18"/>
      <c r="F1159" s="18">
        <v>2706086</v>
      </c>
      <c r="G1159" s="18"/>
      <c r="H1159" s="18"/>
      <c r="I1159" s="18"/>
      <c r="J1159" s="18"/>
      <c r="K1159" s="18"/>
      <c r="L1159" s="18"/>
      <c r="M1159" s="18"/>
      <c r="N1159" s="18">
        <v>2706086</v>
      </c>
    </row>
    <row r="1160" spans="1:14">
      <c r="A1160" s="4" t="s">
        <v>1454</v>
      </c>
      <c r="B1160" s="18"/>
      <c r="C1160" s="18"/>
      <c r="D1160" s="18"/>
      <c r="E1160" s="18"/>
      <c r="F1160" s="18">
        <v>600000</v>
      </c>
      <c r="G1160" s="18"/>
      <c r="H1160" s="18"/>
      <c r="I1160" s="18"/>
      <c r="J1160" s="18"/>
      <c r="K1160" s="18"/>
      <c r="L1160" s="18"/>
      <c r="M1160" s="18"/>
      <c r="N1160" s="18">
        <v>600000</v>
      </c>
    </row>
    <row r="1161" spans="1:14">
      <c r="A1161" s="4" t="s">
        <v>1244</v>
      </c>
      <c r="B1161" s="18"/>
      <c r="C1161" s="18"/>
      <c r="D1161" s="18"/>
      <c r="E1161" s="18"/>
      <c r="F1161" s="18">
        <v>0</v>
      </c>
      <c r="G1161" s="18"/>
      <c r="H1161" s="18"/>
      <c r="I1161" s="18"/>
      <c r="J1161" s="18"/>
      <c r="K1161" s="18"/>
      <c r="L1161" s="18"/>
      <c r="M1161" s="18"/>
      <c r="N1161" s="18">
        <v>0</v>
      </c>
    </row>
    <row r="1162" spans="1:14">
      <c r="A1162" s="4" t="s">
        <v>1034</v>
      </c>
      <c r="B1162" s="18"/>
      <c r="C1162" s="18"/>
      <c r="D1162" s="18"/>
      <c r="E1162" s="18"/>
      <c r="F1162" s="18">
        <v>0</v>
      </c>
      <c r="G1162" s="18"/>
      <c r="H1162" s="18"/>
      <c r="I1162" s="18"/>
      <c r="J1162" s="18"/>
      <c r="K1162" s="18"/>
      <c r="L1162" s="18"/>
      <c r="M1162" s="18"/>
      <c r="N1162" s="18">
        <v>0</v>
      </c>
    </row>
    <row r="1163" spans="1:14">
      <c r="A1163" s="4">
        <v>1473759.38</v>
      </c>
      <c r="B1163" s="18"/>
      <c r="C1163" s="18"/>
      <c r="D1163" s="18"/>
      <c r="E1163" s="18"/>
      <c r="F1163" s="18"/>
      <c r="G1163" s="18"/>
      <c r="H1163" s="18"/>
      <c r="I1163" s="18"/>
      <c r="J1163" s="18"/>
      <c r="K1163" s="18"/>
      <c r="L1163" s="18"/>
      <c r="M1163" s="18"/>
      <c r="N1163" s="18"/>
    </row>
    <row r="1164" spans="1:14">
      <c r="A1164" s="19">
        <v>1</v>
      </c>
      <c r="B1164" s="18"/>
      <c r="C1164" s="18"/>
      <c r="D1164" s="18"/>
      <c r="E1164" s="18"/>
      <c r="F1164" s="18"/>
      <c r="G1164" s="18"/>
      <c r="H1164" s="18"/>
      <c r="I1164" s="18"/>
      <c r="J1164" s="18"/>
      <c r="K1164" s="18"/>
      <c r="L1164" s="18"/>
      <c r="M1164" s="18"/>
      <c r="N1164" s="18"/>
    </row>
    <row r="1165" spans="1:14">
      <c r="A1165" s="347">
        <v>3186090</v>
      </c>
      <c r="B1165" s="18"/>
      <c r="C1165" s="18"/>
      <c r="D1165" s="18"/>
      <c r="E1165" s="18"/>
      <c r="F1165" s="18"/>
      <c r="G1165" s="18"/>
      <c r="H1165" s="18"/>
      <c r="I1165" s="18"/>
      <c r="J1165" s="18"/>
      <c r="K1165" s="18"/>
      <c r="L1165" s="18"/>
      <c r="M1165" s="18"/>
      <c r="N1165" s="18"/>
    </row>
    <row r="1166" spans="1:14">
      <c r="A1166" s="489">
        <v>1110</v>
      </c>
      <c r="B1166" s="18"/>
      <c r="C1166" s="18"/>
      <c r="D1166" s="18"/>
      <c r="E1166" s="18"/>
      <c r="F1166" s="18"/>
      <c r="G1166" s="18"/>
      <c r="H1166" s="18"/>
      <c r="I1166" s="18"/>
      <c r="J1166" s="18"/>
      <c r="K1166" s="18"/>
      <c r="L1166" s="18"/>
      <c r="M1166" s="18"/>
      <c r="N1166" s="18"/>
    </row>
    <row r="1167" spans="1:14">
      <c r="A1167" s="753">
        <v>20258</v>
      </c>
      <c r="B1167" s="18"/>
      <c r="C1167" s="18"/>
      <c r="D1167" s="18"/>
      <c r="E1167" s="18"/>
      <c r="F1167" s="18"/>
      <c r="G1167" s="18"/>
      <c r="H1167" s="18"/>
      <c r="I1167" s="18"/>
      <c r="J1167" s="18"/>
      <c r="K1167" s="18"/>
      <c r="L1167" s="18"/>
      <c r="M1167" s="18"/>
      <c r="N1167" s="18"/>
    </row>
    <row r="1168" spans="1:14">
      <c r="A1168" s="754" t="s">
        <v>898</v>
      </c>
      <c r="B1168" s="18"/>
      <c r="C1168" s="18"/>
      <c r="D1168" s="18">
        <v>1473759.38</v>
      </c>
      <c r="E1168" s="18"/>
      <c r="F1168" s="18"/>
      <c r="G1168" s="18"/>
      <c r="H1168" s="18"/>
      <c r="I1168" s="18"/>
      <c r="J1168" s="18"/>
      <c r="K1168" s="18"/>
      <c r="L1168" s="18"/>
      <c r="M1168" s="18"/>
      <c r="N1168" s="18">
        <v>1473759.38</v>
      </c>
    </row>
    <row r="1169" spans="1:14">
      <c r="A1169" s="754" t="s">
        <v>901</v>
      </c>
      <c r="B1169" s="18"/>
      <c r="C1169" s="18"/>
      <c r="D1169" s="18">
        <v>3186090</v>
      </c>
      <c r="E1169" s="18"/>
      <c r="F1169" s="18"/>
      <c r="G1169" s="18"/>
      <c r="H1169" s="18"/>
      <c r="I1169" s="18"/>
      <c r="J1169" s="18"/>
      <c r="K1169" s="18"/>
      <c r="L1169" s="18"/>
      <c r="M1169" s="18"/>
      <c r="N1169" s="18">
        <v>3186090</v>
      </c>
    </row>
    <row r="1170" spans="1:14">
      <c r="A1170" s="754" t="s">
        <v>903</v>
      </c>
      <c r="B1170" s="18"/>
      <c r="C1170" s="18"/>
      <c r="D1170" s="18">
        <v>1</v>
      </c>
      <c r="E1170" s="18"/>
      <c r="F1170" s="18"/>
      <c r="G1170" s="18"/>
      <c r="H1170" s="18"/>
      <c r="I1170" s="18"/>
      <c r="J1170" s="18"/>
      <c r="K1170" s="18"/>
      <c r="L1170" s="18"/>
      <c r="M1170" s="18"/>
      <c r="N1170" s="18">
        <v>1</v>
      </c>
    </row>
    <row r="1171" spans="1:14">
      <c r="A1171" s="754" t="s">
        <v>905</v>
      </c>
      <c r="B1171" s="18"/>
      <c r="C1171" s="18"/>
      <c r="D1171" s="18">
        <v>1110</v>
      </c>
      <c r="E1171" s="18"/>
      <c r="F1171" s="18"/>
      <c r="G1171" s="18"/>
      <c r="H1171" s="18"/>
      <c r="I1171" s="18"/>
      <c r="J1171" s="18"/>
      <c r="K1171" s="18"/>
      <c r="L1171" s="18"/>
      <c r="M1171" s="18"/>
      <c r="N1171" s="18">
        <v>1110</v>
      </c>
    </row>
    <row r="1172" spans="1:14">
      <c r="A1172" s="754" t="s">
        <v>174</v>
      </c>
      <c r="B1172" s="18"/>
      <c r="C1172" s="18"/>
      <c r="D1172" s="18">
        <v>20258</v>
      </c>
      <c r="E1172" s="18"/>
      <c r="F1172" s="18"/>
      <c r="G1172" s="18"/>
      <c r="H1172" s="18"/>
      <c r="I1172" s="18"/>
      <c r="J1172" s="18"/>
      <c r="K1172" s="18"/>
      <c r="L1172" s="18"/>
      <c r="M1172" s="18"/>
      <c r="N1172" s="18">
        <v>20258</v>
      </c>
    </row>
    <row r="1173" spans="1:14">
      <c r="A1173" s="489" t="s">
        <v>1875</v>
      </c>
      <c r="B1173" s="18"/>
      <c r="C1173" s="18"/>
      <c r="D1173" s="18">
        <v>1473759.38</v>
      </c>
      <c r="E1173" s="18"/>
      <c r="F1173" s="18"/>
      <c r="G1173" s="18"/>
      <c r="H1173" s="18"/>
      <c r="I1173" s="18"/>
      <c r="J1173" s="18"/>
      <c r="K1173" s="18"/>
      <c r="L1173" s="18"/>
      <c r="M1173" s="18"/>
      <c r="N1173" s="18">
        <v>1473759.38</v>
      </c>
    </row>
    <row r="1174" spans="1:14">
      <c r="A1174" s="489" t="s">
        <v>1665</v>
      </c>
      <c r="B1174" s="18"/>
      <c r="C1174" s="18"/>
      <c r="D1174" s="18">
        <v>3186090</v>
      </c>
      <c r="E1174" s="18"/>
      <c r="F1174" s="18"/>
      <c r="G1174" s="18"/>
      <c r="H1174" s="18"/>
      <c r="I1174" s="18"/>
      <c r="J1174" s="18"/>
      <c r="K1174" s="18"/>
      <c r="L1174" s="18"/>
      <c r="M1174" s="18"/>
      <c r="N1174" s="18">
        <v>3186090</v>
      </c>
    </row>
    <row r="1175" spans="1:14">
      <c r="A1175" s="489" t="s">
        <v>1455</v>
      </c>
      <c r="B1175" s="18"/>
      <c r="C1175" s="18"/>
      <c r="D1175" s="18">
        <v>1</v>
      </c>
      <c r="E1175" s="18"/>
      <c r="F1175" s="18"/>
      <c r="G1175" s="18"/>
      <c r="H1175" s="18"/>
      <c r="I1175" s="18"/>
      <c r="J1175" s="18"/>
      <c r="K1175" s="18"/>
      <c r="L1175" s="18"/>
      <c r="M1175" s="18"/>
      <c r="N1175" s="18">
        <v>1</v>
      </c>
    </row>
    <row r="1176" spans="1:14">
      <c r="A1176" s="489" t="s">
        <v>1245</v>
      </c>
      <c r="B1176" s="18"/>
      <c r="C1176" s="18"/>
      <c r="D1176" s="18">
        <v>1110</v>
      </c>
      <c r="E1176" s="18"/>
      <c r="F1176" s="18"/>
      <c r="G1176" s="18"/>
      <c r="H1176" s="18"/>
      <c r="I1176" s="18"/>
      <c r="J1176" s="18"/>
      <c r="K1176" s="18"/>
      <c r="L1176" s="18"/>
      <c r="M1176" s="18"/>
      <c r="N1176" s="18">
        <v>1110</v>
      </c>
    </row>
    <row r="1177" spans="1:14">
      <c r="A1177" s="489" t="s">
        <v>1035</v>
      </c>
      <c r="B1177" s="18"/>
      <c r="C1177" s="18"/>
      <c r="D1177" s="18">
        <v>20258</v>
      </c>
      <c r="E1177" s="18"/>
      <c r="F1177" s="18"/>
      <c r="G1177" s="18"/>
      <c r="H1177" s="18"/>
      <c r="I1177" s="18"/>
      <c r="J1177" s="18"/>
      <c r="K1177" s="18"/>
      <c r="L1177" s="18"/>
      <c r="M1177" s="18"/>
      <c r="N1177" s="18">
        <v>20258</v>
      </c>
    </row>
    <row r="1178" spans="1:14">
      <c r="A1178" s="347" t="s">
        <v>1876</v>
      </c>
      <c r="B1178" s="18"/>
      <c r="C1178" s="18"/>
      <c r="D1178" s="18">
        <v>1473759.38</v>
      </c>
      <c r="E1178" s="18"/>
      <c r="F1178" s="18"/>
      <c r="G1178" s="18"/>
      <c r="H1178" s="18"/>
      <c r="I1178" s="18"/>
      <c r="J1178" s="18"/>
      <c r="K1178" s="18"/>
      <c r="L1178" s="18"/>
      <c r="M1178" s="18"/>
      <c r="N1178" s="18">
        <v>1473759.38</v>
      </c>
    </row>
    <row r="1179" spans="1:14">
      <c r="A1179" s="347" t="s">
        <v>1666</v>
      </c>
      <c r="B1179" s="18"/>
      <c r="C1179" s="18"/>
      <c r="D1179" s="18">
        <v>3186090</v>
      </c>
      <c r="E1179" s="18"/>
      <c r="F1179" s="18"/>
      <c r="G1179" s="18"/>
      <c r="H1179" s="18"/>
      <c r="I1179" s="18"/>
      <c r="J1179" s="18"/>
      <c r="K1179" s="18"/>
      <c r="L1179" s="18"/>
      <c r="M1179" s="18"/>
      <c r="N1179" s="18">
        <v>3186090</v>
      </c>
    </row>
    <row r="1180" spans="1:14">
      <c r="A1180" s="347" t="s">
        <v>1456</v>
      </c>
      <c r="B1180" s="18"/>
      <c r="C1180" s="18"/>
      <c r="D1180" s="18">
        <v>1</v>
      </c>
      <c r="E1180" s="18"/>
      <c r="F1180" s="18"/>
      <c r="G1180" s="18"/>
      <c r="H1180" s="18"/>
      <c r="I1180" s="18"/>
      <c r="J1180" s="18"/>
      <c r="K1180" s="18"/>
      <c r="L1180" s="18"/>
      <c r="M1180" s="18"/>
      <c r="N1180" s="18">
        <v>1</v>
      </c>
    </row>
    <row r="1181" spans="1:14">
      <c r="A1181" s="347" t="s">
        <v>1246</v>
      </c>
      <c r="B1181" s="18"/>
      <c r="C1181" s="18"/>
      <c r="D1181" s="18">
        <v>1110</v>
      </c>
      <c r="E1181" s="18"/>
      <c r="F1181" s="18"/>
      <c r="G1181" s="18"/>
      <c r="H1181" s="18"/>
      <c r="I1181" s="18"/>
      <c r="J1181" s="18"/>
      <c r="K1181" s="18"/>
      <c r="L1181" s="18"/>
      <c r="M1181" s="18"/>
      <c r="N1181" s="18">
        <v>1110</v>
      </c>
    </row>
    <row r="1182" spans="1:14">
      <c r="A1182" s="347" t="s">
        <v>1036</v>
      </c>
      <c r="B1182" s="18"/>
      <c r="C1182" s="18"/>
      <c r="D1182" s="18">
        <v>20258</v>
      </c>
      <c r="E1182" s="18"/>
      <c r="F1182" s="18"/>
      <c r="G1182" s="18"/>
      <c r="H1182" s="18"/>
      <c r="I1182" s="18"/>
      <c r="J1182" s="18"/>
      <c r="K1182" s="18"/>
      <c r="L1182" s="18"/>
      <c r="M1182" s="18"/>
      <c r="N1182" s="18">
        <v>20258</v>
      </c>
    </row>
    <row r="1183" spans="1:14">
      <c r="A1183" s="19" t="s">
        <v>1777</v>
      </c>
      <c r="B1183" s="18"/>
      <c r="C1183" s="18"/>
      <c r="D1183" s="18">
        <v>1473759.38</v>
      </c>
      <c r="E1183" s="18"/>
      <c r="F1183" s="18"/>
      <c r="G1183" s="18"/>
      <c r="H1183" s="18"/>
      <c r="I1183" s="18"/>
      <c r="J1183" s="18"/>
      <c r="K1183" s="18"/>
      <c r="L1183" s="18"/>
      <c r="M1183" s="18"/>
      <c r="N1183" s="18">
        <v>1473759.38</v>
      </c>
    </row>
    <row r="1184" spans="1:14">
      <c r="A1184" s="19" t="s">
        <v>1567</v>
      </c>
      <c r="B1184" s="18"/>
      <c r="C1184" s="18"/>
      <c r="D1184" s="18">
        <v>3186090</v>
      </c>
      <c r="E1184" s="18"/>
      <c r="F1184" s="18"/>
      <c r="G1184" s="18"/>
      <c r="H1184" s="18"/>
      <c r="I1184" s="18"/>
      <c r="J1184" s="18"/>
      <c r="K1184" s="18"/>
      <c r="L1184" s="18"/>
      <c r="M1184" s="18"/>
      <c r="N1184" s="18">
        <v>3186090</v>
      </c>
    </row>
    <row r="1185" spans="1:14">
      <c r="A1185" s="19" t="s">
        <v>1357</v>
      </c>
      <c r="B1185" s="18"/>
      <c r="C1185" s="18"/>
      <c r="D1185" s="18">
        <v>1</v>
      </c>
      <c r="E1185" s="18"/>
      <c r="F1185" s="18"/>
      <c r="G1185" s="18"/>
      <c r="H1185" s="18"/>
      <c r="I1185" s="18"/>
      <c r="J1185" s="18"/>
      <c r="K1185" s="18"/>
      <c r="L1185" s="18"/>
      <c r="M1185" s="18"/>
      <c r="N1185" s="18">
        <v>1</v>
      </c>
    </row>
    <row r="1186" spans="1:14">
      <c r="A1186" s="19" t="s">
        <v>1147</v>
      </c>
      <c r="B1186" s="18"/>
      <c r="C1186" s="18"/>
      <c r="D1186" s="18">
        <v>1110</v>
      </c>
      <c r="E1186" s="18"/>
      <c r="F1186" s="18"/>
      <c r="G1186" s="18"/>
      <c r="H1186" s="18"/>
      <c r="I1186" s="18"/>
      <c r="J1186" s="18"/>
      <c r="K1186" s="18"/>
      <c r="L1186" s="18"/>
      <c r="M1186" s="18"/>
      <c r="N1186" s="18">
        <v>1110</v>
      </c>
    </row>
    <row r="1187" spans="1:14">
      <c r="A1187" s="19" t="s">
        <v>937</v>
      </c>
      <c r="B1187" s="18"/>
      <c r="C1187" s="18"/>
      <c r="D1187" s="18">
        <v>20258</v>
      </c>
      <c r="E1187" s="18"/>
      <c r="F1187" s="18"/>
      <c r="G1187" s="18"/>
      <c r="H1187" s="18"/>
      <c r="I1187" s="18"/>
      <c r="J1187" s="18"/>
      <c r="K1187" s="18"/>
      <c r="L1187" s="18"/>
      <c r="M1187" s="18"/>
      <c r="N1187" s="18">
        <v>20258</v>
      </c>
    </row>
    <row r="1188" spans="1:14">
      <c r="A1188" s="4" t="s">
        <v>1877</v>
      </c>
      <c r="B1188" s="18"/>
      <c r="C1188" s="18"/>
      <c r="D1188" s="18">
        <v>1473759.38</v>
      </c>
      <c r="E1188" s="18"/>
      <c r="F1188" s="18"/>
      <c r="G1188" s="18"/>
      <c r="H1188" s="18"/>
      <c r="I1188" s="18"/>
      <c r="J1188" s="18"/>
      <c r="K1188" s="18"/>
      <c r="L1188" s="18"/>
      <c r="M1188" s="18"/>
      <c r="N1188" s="18">
        <v>1473759.38</v>
      </c>
    </row>
    <row r="1189" spans="1:14">
      <c r="A1189" s="4" t="s">
        <v>1667</v>
      </c>
      <c r="B1189" s="18"/>
      <c r="C1189" s="18"/>
      <c r="D1189" s="18">
        <v>3186090</v>
      </c>
      <c r="E1189" s="18"/>
      <c r="F1189" s="18"/>
      <c r="G1189" s="18"/>
      <c r="H1189" s="18"/>
      <c r="I1189" s="18"/>
      <c r="J1189" s="18"/>
      <c r="K1189" s="18"/>
      <c r="L1189" s="18"/>
      <c r="M1189" s="18"/>
      <c r="N1189" s="18">
        <v>3186090</v>
      </c>
    </row>
    <row r="1190" spans="1:14">
      <c r="A1190" s="4" t="s">
        <v>1457</v>
      </c>
      <c r="B1190" s="18"/>
      <c r="C1190" s="18"/>
      <c r="D1190" s="18">
        <v>1</v>
      </c>
      <c r="E1190" s="18"/>
      <c r="F1190" s="18"/>
      <c r="G1190" s="18"/>
      <c r="H1190" s="18"/>
      <c r="I1190" s="18"/>
      <c r="J1190" s="18"/>
      <c r="K1190" s="18"/>
      <c r="L1190" s="18"/>
      <c r="M1190" s="18"/>
      <c r="N1190" s="18">
        <v>1</v>
      </c>
    </row>
    <row r="1191" spans="1:14">
      <c r="A1191" s="4" t="s">
        <v>1247</v>
      </c>
      <c r="B1191" s="18"/>
      <c r="C1191" s="18"/>
      <c r="D1191" s="18">
        <v>1110</v>
      </c>
      <c r="E1191" s="18"/>
      <c r="F1191" s="18"/>
      <c r="G1191" s="18"/>
      <c r="H1191" s="18"/>
      <c r="I1191" s="18"/>
      <c r="J1191" s="18"/>
      <c r="K1191" s="18"/>
      <c r="L1191" s="18"/>
      <c r="M1191" s="18"/>
      <c r="N1191" s="18">
        <v>1110</v>
      </c>
    </row>
    <row r="1192" spans="1:14">
      <c r="A1192" s="4" t="s">
        <v>1037</v>
      </c>
      <c r="B1192" s="18"/>
      <c r="C1192" s="18"/>
      <c r="D1192" s="18">
        <v>20258</v>
      </c>
      <c r="E1192" s="18"/>
      <c r="F1192" s="18"/>
      <c r="G1192" s="18"/>
      <c r="H1192" s="18"/>
      <c r="I1192" s="18"/>
      <c r="J1192" s="18"/>
      <c r="K1192" s="18"/>
      <c r="L1192" s="18"/>
      <c r="M1192" s="18"/>
      <c r="N1192" s="18">
        <v>20258</v>
      </c>
    </row>
    <row r="1193" spans="1:14">
      <c r="A1193" s="4">
        <v>1480537</v>
      </c>
      <c r="B1193" s="18"/>
      <c r="C1193" s="18"/>
      <c r="D1193" s="18"/>
      <c r="E1193" s="18"/>
      <c r="F1193" s="18"/>
      <c r="G1193" s="18"/>
      <c r="H1193" s="18"/>
      <c r="I1193" s="18"/>
      <c r="J1193" s="18"/>
      <c r="K1193" s="18"/>
      <c r="L1193" s="18"/>
      <c r="M1193" s="18"/>
      <c r="N1193" s="18"/>
    </row>
    <row r="1194" spans="1:14">
      <c r="A1194" s="19">
        <v>663000</v>
      </c>
      <c r="B1194" s="18"/>
      <c r="C1194" s="18"/>
      <c r="D1194" s="18"/>
      <c r="E1194" s="18"/>
      <c r="F1194" s="18"/>
      <c r="G1194" s="18"/>
      <c r="H1194" s="18"/>
      <c r="I1194" s="18"/>
      <c r="J1194" s="18"/>
      <c r="K1194" s="18"/>
      <c r="L1194" s="18"/>
      <c r="M1194" s="18"/>
      <c r="N1194" s="18"/>
    </row>
    <row r="1195" spans="1:14">
      <c r="A1195" s="347">
        <v>2895140.53</v>
      </c>
      <c r="B1195" s="18"/>
      <c r="C1195" s="18"/>
      <c r="D1195" s="18"/>
      <c r="E1195" s="18"/>
      <c r="F1195" s="18"/>
      <c r="G1195" s="18"/>
      <c r="H1195" s="18"/>
      <c r="I1195" s="18"/>
      <c r="J1195" s="18"/>
      <c r="K1195" s="18"/>
      <c r="L1195" s="18"/>
      <c r="M1195" s="18"/>
      <c r="N1195" s="18"/>
    </row>
    <row r="1196" spans="1:14">
      <c r="A1196" s="489">
        <v>0</v>
      </c>
      <c r="B1196" s="18"/>
      <c r="C1196" s="18"/>
      <c r="D1196" s="18"/>
      <c r="E1196" s="18"/>
      <c r="F1196" s="18"/>
      <c r="G1196" s="18"/>
      <c r="H1196" s="18"/>
      <c r="I1196" s="18"/>
      <c r="J1196" s="18"/>
      <c r="K1196" s="18"/>
      <c r="L1196" s="18"/>
      <c r="M1196" s="18"/>
      <c r="N1196" s="18"/>
    </row>
    <row r="1197" spans="1:14">
      <c r="A1197" s="753">
        <v>51532.92</v>
      </c>
      <c r="B1197" s="18"/>
      <c r="C1197" s="18"/>
      <c r="D1197" s="18"/>
      <c r="E1197" s="18"/>
      <c r="F1197" s="18"/>
      <c r="G1197" s="18"/>
      <c r="H1197" s="18"/>
      <c r="I1197" s="18"/>
      <c r="J1197" s="18"/>
      <c r="K1197" s="18"/>
      <c r="L1197" s="18"/>
      <c r="M1197" s="18"/>
      <c r="N1197" s="18"/>
    </row>
    <row r="1198" spans="1:14">
      <c r="A1198" s="754" t="s">
        <v>898</v>
      </c>
      <c r="B1198" s="18"/>
      <c r="C1198" s="18"/>
      <c r="D1198" s="18">
        <v>1480537</v>
      </c>
      <c r="E1198" s="18"/>
      <c r="F1198" s="18"/>
      <c r="G1198" s="18"/>
      <c r="H1198" s="18"/>
      <c r="I1198" s="18"/>
      <c r="J1198" s="18"/>
      <c r="K1198" s="18"/>
      <c r="L1198" s="18"/>
      <c r="M1198" s="18"/>
      <c r="N1198" s="18">
        <v>1480537</v>
      </c>
    </row>
    <row r="1199" spans="1:14">
      <c r="A1199" s="754" t="s">
        <v>901</v>
      </c>
      <c r="B1199" s="18"/>
      <c r="C1199" s="18"/>
      <c r="D1199" s="18">
        <v>2895140.53</v>
      </c>
      <c r="E1199" s="18"/>
      <c r="F1199" s="18"/>
      <c r="G1199" s="18"/>
      <c r="H1199" s="18"/>
      <c r="I1199" s="18"/>
      <c r="J1199" s="18"/>
      <c r="K1199" s="18"/>
      <c r="L1199" s="18"/>
      <c r="M1199" s="18"/>
      <c r="N1199" s="18">
        <v>2895140.53</v>
      </c>
    </row>
    <row r="1200" spans="1:14">
      <c r="A1200" s="754" t="s">
        <v>903</v>
      </c>
      <c r="B1200" s="18"/>
      <c r="C1200" s="18"/>
      <c r="D1200" s="18">
        <v>663000</v>
      </c>
      <c r="E1200" s="18"/>
      <c r="F1200" s="18"/>
      <c r="G1200" s="18"/>
      <c r="H1200" s="18"/>
      <c r="I1200" s="18"/>
      <c r="J1200" s="18"/>
      <c r="K1200" s="18"/>
      <c r="L1200" s="18"/>
      <c r="M1200" s="18"/>
      <c r="N1200" s="18">
        <v>663000</v>
      </c>
    </row>
    <row r="1201" spans="1:14">
      <c r="A1201" s="754" t="s">
        <v>905</v>
      </c>
      <c r="B1201" s="18"/>
      <c r="C1201" s="18"/>
      <c r="D1201" s="18">
        <v>0</v>
      </c>
      <c r="E1201" s="18"/>
      <c r="F1201" s="18"/>
      <c r="G1201" s="18"/>
      <c r="H1201" s="18"/>
      <c r="I1201" s="18"/>
      <c r="J1201" s="18"/>
      <c r="K1201" s="18"/>
      <c r="L1201" s="18"/>
      <c r="M1201" s="18"/>
      <c r="N1201" s="18">
        <v>0</v>
      </c>
    </row>
    <row r="1202" spans="1:14">
      <c r="A1202" s="754" t="s">
        <v>174</v>
      </c>
      <c r="B1202" s="18"/>
      <c r="C1202" s="18"/>
      <c r="D1202" s="18">
        <v>51532.92</v>
      </c>
      <c r="E1202" s="18"/>
      <c r="F1202" s="18"/>
      <c r="G1202" s="18"/>
      <c r="H1202" s="18"/>
      <c r="I1202" s="18"/>
      <c r="J1202" s="18"/>
      <c r="K1202" s="18"/>
      <c r="L1202" s="18"/>
      <c r="M1202" s="18"/>
      <c r="N1202" s="18">
        <v>51532.92</v>
      </c>
    </row>
    <row r="1203" spans="1:14">
      <c r="A1203" s="489" t="s">
        <v>1755</v>
      </c>
      <c r="B1203" s="18"/>
      <c r="C1203" s="18"/>
      <c r="D1203" s="18">
        <v>1480537</v>
      </c>
      <c r="E1203" s="18"/>
      <c r="F1203" s="18"/>
      <c r="G1203" s="18"/>
      <c r="H1203" s="18"/>
      <c r="I1203" s="18"/>
      <c r="J1203" s="18"/>
      <c r="K1203" s="18"/>
      <c r="L1203" s="18"/>
      <c r="M1203" s="18"/>
      <c r="N1203" s="18">
        <v>1480537</v>
      </c>
    </row>
    <row r="1204" spans="1:14">
      <c r="A1204" s="489" t="s">
        <v>1545</v>
      </c>
      <c r="B1204" s="18"/>
      <c r="C1204" s="18"/>
      <c r="D1204" s="18">
        <v>2895140.53</v>
      </c>
      <c r="E1204" s="18"/>
      <c r="F1204" s="18"/>
      <c r="G1204" s="18"/>
      <c r="H1204" s="18"/>
      <c r="I1204" s="18"/>
      <c r="J1204" s="18"/>
      <c r="K1204" s="18"/>
      <c r="L1204" s="18"/>
      <c r="M1204" s="18"/>
      <c r="N1204" s="18">
        <v>2895140.53</v>
      </c>
    </row>
    <row r="1205" spans="1:14">
      <c r="A1205" s="489" t="s">
        <v>1335</v>
      </c>
      <c r="B1205" s="18"/>
      <c r="C1205" s="18"/>
      <c r="D1205" s="18">
        <v>663000</v>
      </c>
      <c r="E1205" s="18"/>
      <c r="F1205" s="18"/>
      <c r="G1205" s="18"/>
      <c r="H1205" s="18"/>
      <c r="I1205" s="18"/>
      <c r="J1205" s="18"/>
      <c r="K1205" s="18"/>
      <c r="L1205" s="18"/>
      <c r="M1205" s="18"/>
      <c r="N1205" s="18">
        <v>663000</v>
      </c>
    </row>
    <row r="1206" spans="1:14">
      <c r="A1206" s="489" t="s">
        <v>1125</v>
      </c>
      <c r="B1206" s="18"/>
      <c r="C1206" s="18"/>
      <c r="D1206" s="18">
        <v>0</v>
      </c>
      <c r="E1206" s="18"/>
      <c r="F1206" s="18"/>
      <c r="G1206" s="18"/>
      <c r="H1206" s="18"/>
      <c r="I1206" s="18"/>
      <c r="J1206" s="18"/>
      <c r="K1206" s="18"/>
      <c r="L1206" s="18"/>
      <c r="M1206" s="18"/>
      <c r="N1206" s="18">
        <v>0</v>
      </c>
    </row>
    <row r="1207" spans="1:14">
      <c r="A1207" s="489" t="s">
        <v>915</v>
      </c>
      <c r="B1207" s="18"/>
      <c r="C1207" s="18"/>
      <c r="D1207" s="18">
        <v>51532.92</v>
      </c>
      <c r="E1207" s="18"/>
      <c r="F1207" s="18"/>
      <c r="G1207" s="18"/>
      <c r="H1207" s="18"/>
      <c r="I1207" s="18"/>
      <c r="J1207" s="18"/>
      <c r="K1207" s="18"/>
      <c r="L1207" s="18"/>
      <c r="M1207" s="18"/>
      <c r="N1207" s="18">
        <v>51532.92</v>
      </c>
    </row>
    <row r="1208" spans="1:14">
      <c r="A1208" s="347" t="s">
        <v>1878</v>
      </c>
      <c r="B1208" s="18"/>
      <c r="C1208" s="18"/>
      <c r="D1208" s="18">
        <v>1480537</v>
      </c>
      <c r="E1208" s="18"/>
      <c r="F1208" s="18"/>
      <c r="G1208" s="18"/>
      <c r="H1208" s="18"/>
      <c r="I1208" s="18"/>
      <c r="J1208" s="18"/>
      <c r="K1208" s="18"/>
      <c r="L1208" s="18"/>
      <c r="M1208" s="18"/>
      <c r="N1208" s="18">
        <v>1480537</v>
      </c>
    </row>
    <row r="1209" spans="1:14">
      <c r="A1209" s="347" t="s">
        <v>1668</v>
      </c>
      <c r="B1209" s="18"/>
      <c r="C1209" s="18"/>
      <c r="D1209" s="18">
        <v>2895140.53</v>
      </c>
      <c r="E1209" s="18"/>
      <c r="F1209" s="18"/>
      <c r="G1209" s="18"/>
      <c r="H1209" s="18"/>
      <c r="I1209" s="18"/>
      <c r="J1209" s="18"/>
      <c r="K1209" s="18"/>
      <c r="L1209" s="18"/>
      <c r="M1209" s="18"/>
      <c r="N1209" s="18">
        <v>2895140.53</v>
      </c>
    </row>
    <row r="1210" spans="1:14">
      <c r="A1210" s="347" t="s">
        <v>1458</v>
      </c>
      <c r="B1210" s="18"/>
      <c r="C1210" s="18"/>
      <c r="D1210" s="18">
        <v>663000</v>
      </c>
      <c r="E1210" s="18"/>
      <c r="F1210" s="18"/>
      <c r="G1210" s="18"/>
      <c r="H1210" s="18"/>
      <c r="I1210" s="18"/>
      <c r="J1210" s="18"/>
      <c r="K1210" s="18"/>
      <c r="L1210" s="18"/>
      <c r="M1210" s="18"/>
      <c r="N1210" s="18">
        <v>663000</v>
      </c>
    </row>
    <row r="1211" spans="1:14">
      <c r="A1211" s="347" t="s">
        <v>1248</v>
      </c>
      <c r="B1211" s="18"/>
      <c r="C1211" s="18"/>
      <c r="D1211" s="18">
        <v>0</v>
      </c>
      <c r="E1211" s="18"/>
      <c r="F1211" s="18"/>
      <c r="G1211" s="18"/>
      <c r="H1211" s="18"/>
      <c r="I1211" s="18"/>
      <c r="J1211" s="18"/>
      <c r="K1211" s="18"/>
      <c r="L1211" s="18"/>
      <c r="M1211" s="18"/>
      <c r="N1211" s="18">
        <v>0</v>
      </c>
    </row>
    <row r="1212" spans="1:14">
      <c r="A1212" s="347" t="s">
        <v>1038</v>
      </c>
      <c r="B1212" s="18"/>
      <c r="C1212" s="18"/>
      <c r="D1212" s="18">
        <v>51532.92</v>
      </c>
      <c r="E1212" s="18"/>
      <c r="F1212" s="18"/>
      <c r="G1212" s="18"/>
      <c r="H1212" s="18"/>
      <c r="I1212" s="18"/>
      <c r="J1212" s="18"/>
      <c r="K1212" s="18"/>
      <c r="L1212" s="18"/>
      <c r="M1212" s="18"/>
      <c r="N1212" s="18">
        <v>51532.92</v>
      </c>
    </row>
    <row r="1213" spans="1:14">
      <c r="A1213" s="19" t="s">
        <v>1879</v>
      </c>
      <c r="B1213" s="18"/>
      <c r="C1213" s="18"/>
      <c r="D1213" s="18">
        <v>1480537</v>
      </c>
      <c r="E1213" s="18"/>
      <c r="F1213" s="18"/>
      <c r="G1213" s="18"/>
      <c r="H1213" s="18"/>
      <c r="I1213" s="18"/>
      <c r="J1213" s="18"/>
      <c r="K1213" s="18"/>
      <c r="L1213" s="18"/>
      <c r="M1213" s="18"/>
      <c r="N1213" s="18">
        <v>1480537</v>
      </c>
    </row>
    <row r="1214" spans="1:14">
      <c r="A1214" s="19" t="s">
        <v>1669</v>
      </c>
      <c r="B1214" s="18"/>
      <c r="C1214" s="18"/>
      <c r="D1214" s="18">
        <v>2895140.53</v>
      </c>
      <c r="E1214" s="18"/>
      <c r="F1214" s="18"/>
      <c r="G1214" s="18"/>
      <c r="H1214" s="18"/>
      <c r="I1214" s="18"/>
      <c r="J1214" s="18"/>
      <c r="K1214" s="18"/>
      <c r="L1214" s="18"/>
      <c r="M1214" s="18"/>
      <c r="N1214" s="18">
        <v>2895140.53</v>
      </c>
    </row>
    <row r="1215" spans="1:14">
      <c r="A1215" s="19" t="s">
        <v>1459</v>
      </c>
      <c r="B1215" s="18"/>
      <c r="C1215" s="18"/>
      <c r="D1215" s="18">
        <v>663000</v>
      </c>
      <c r="E1215" s="18"/>
      <c r="F1215" s="18"/>
      <c r="G1215" s="18"/>
      <c r="H1215" s="18"/>
      <c r="I1215" s="18"/>
      <c r="J1215" s="18"/>
      <c r="K1215" s="18"/>
      <c r="L1215" s="18"/>
      <c r="M1215" s="18"/>
      <c r="N1215" s="18">
        <v>663000</v>
      </c>
    </row>
    <row r="1216" spans="1:14">
      <c r="A1216" s="19" t="s">
        <v>1249</v>
      </c>
      <c r="B1216" s="18"/>
      <c r="C1216" s="18"/>
      <c r="D1216" s="18">
        <v>0</v>
      </c>
      <c r="E1216" s="18"/>
      <c r="F1216" s="18"/>
      <c r="G1216" s="18"/>
      <c r="H1216" s="18"/>
      <c r="I1216" s="18"/>
      <c r="J1216" s="18"/>
      <c r="K1216" s="18"/>
      <c r="L1216" s="18"/>
      <c r="M1216" s="18"/>
      <c r="N1216" s="18">
        <v>0</v>
      </c>
    </row>
    <row r="1217" spans="1:14">
      <c r="A1217" s="19" t="s">
        <v>1039</v>
      </c>
      <c r="B1217" s="18"/>
      <c r="C1217" s="18"/>
      <c r="D1217" s="18">
        <v>51532.92</v>
      </c>
      <c r="E1217" s="18"/>
      <c r="F1217" s="18"/>
      <c r="G1217" s="18"/>
      <c r="H1217" s="18"/>
      <c r="I1217" s="18"/>
      <c r="J1217" s="18"/>
      <c r="K1217" s="18"/>
      <c r="L1217" s="18"/>
      <c r="M1217" s="18"/>
      <c r="N1217" s="18">
        <v>51532.92</v>
      </c>
    </row>
    <row r="1218" spans="1:14">
      <c r="A1218" s="4" t="s">
        <v>1880</v>
      </c>
      <c r="B1218" s="18"/>
      <c r="C1218" s="18"/>
      <c r="D1218" s="18">
        <v>1480537</v>
      </c>
      <c r="E1218" s="18"/>
      <c r="F1218" s="18"/>
      <c r="G1218" s="18"/>
      <c r="H1218" s="18"/>
      <c r="I1218" s="18"/>
      <c r="J1218" s="18"/>
      <c r="K1218" s="18"/>
      <c r="L1218" s="18"/>
      <c r="M1218" s="18"/>
      <c r="N1218" s="18">
        <v>1480537</v>
      </c>
    </row>
    <row r="1219" spans="1:14">
      <c r="A1219" s="4" t="s">
        <v>1670</v>
      </c>
      <c r="B1219" s="18"/>
      <c r="C1219" s="18"/>
      <c r="D1219" s="18">
        <v>2895140.53</v>
      </c>
      <c r="E1219" s="18"/>
      <c r="F1219" s="18"/>
      <c r="G1219" s="18"/>
      <c r="H1219" s="18"/>
      <c r="I1219" s="18"/>
      <c r="J1219" s="18"/>
      <c r="K1219" s="18"/>
      <c r="L1219" s="18"/>
      <c r="M1219" s="18"/>
      <c r="N1219" s="18">
        <v>2895140.53</v>
      </c>
    </row>
    <row r="1220" spans="1:14">
      <c r="A1220" s="4" t="s">
        <v>1460</v>
      </c>
      <c r="B1220" s="18"/>
      <c r="C1220" s="18"/>
      <c r="D1220" s="18">
        <v>663000</v>
      </c>
      <c r="E1220" s="18"/>
      <c r="F1220" s="18"/>
      <c r="G1220" s="18"/>
      <c r="H1220" s="18"/>
      <c r="I1220" s="18"/>
      <c r="J1220" s="18"/>
      <c r="K1220" s="18"/>
      <c r="L1220" s="18"/>
      <c r="M1220" s="18"/>
      <c r="N1220" s="18">
        <v>663000</v>
      </c>
    </row>
    <row r="1221" spans="1:14">
      <c r="A1221" s="4" t="s">
        <v>1250</v>
      </c>
      <c r="B1221" s="18"/>
      <c r="C1221" s="18"/>
      <c r="D1221" s="18">
        <v>0</v>
      </c>
      <c r="E1221" s="18"/>
      <c r="F1221" s="18"/>
      <c r="G1221" s="18"/>
      <c r="H1221" s="18"/>
      <c r="I1221" s="18"/>
      <c r="J1221" s="18"/>
      <c r="K1221" s="18"/>
      <c r="L1221" s="18"/>
      <c r="M1221" s="18"/>
      <c r="N1221" s="18">
        <v>0</v>
      </c>
    </row>
    <row r="1222" spans="1:14">
      <c r="A1222" s="4" t="s">
        <v>1040</v>
      </c>
      <c r="B1222" s="18"/>
      <c r="C1222" s="18"/>
      <c r="D1222" s="18">
        <v>51532.92</v>
      </c>
      <c r="E1222" s="18"/>
      <c r="F1222" s="18"/>
      <c r="G1222" s="18"/>
      <c r="H1222" s="18"/>
      <c r="I1222" s="18"/>
      <c r="J1222" s="18"/>
      <c r="K1222" s="18"/>
      <c r="L1222" s="18"/>
      <c r="M1222" s="18"/>
      <c r="N1222" s="18">
        <v>51532.92</v>
      </c>
    </row>
    <row r="1223" spans="1:14">
      <c r="A1223" s="4">
        <v>1500443.2</v>
      </c>
      <c r="B1223" s="18"/>
      <c r="C1223" s="18"/>
      <c r="D1223" s="18"/>
      <c r="E1223" s="18"/>
      <c r="F1223" s="18"/>
      <c r="G1223" s="18"/>
      <c r="H1223" s="18"/>
      <c r="I1223" s="18"/>
      <c r="J1223" s="18"/>
      <c r="K1223" s="18"/>
      <c r="L1223" s="18"/>
      <c r="M1223" s="18"/>
      <c r="N1223" s="18"/>
    </row>
    <row r="1224" spans="1:14">
      <c r="A1224" s="19">
        <v>270000</v>
      </c>
      <c r="B1224" s="18"/>
      <c r="C1224" s="18"/>
      <c r="D1224" s="18"/>
      <c r="E1224" s="18"/>
      <c r="F1224" s="18"/>
      <c r="G1224" s="18"/>
      <c r="H1224" s="18"/>
      <c r="I1224" s="18"/>
      <c r="J1224" s="18"/>
      <c r="K1224" s="18"/>
      <c r="L1224" s="18"/>
      <c r="M1224" s="18"/>
      <c r="N1224" s="18"/>
    </row>
    <row r="1225" spans="1:14">
      <c r="A1225" s="347">
        <v>3248644.89</v>
      </c>
      <c r="B1225" s="18"/>
      <c r="C1225" s="18"/>
      <c r="D1225" s="18"/>
      <c r="E1225" s="18"/>
      <c r="F1225" s="18"/>
      <c r="G1225" s="18"/>
      <c r="H1225" s="18"/>
      <c r="I1225" s="18"/>
      <c r="J1225" s="18"/>
      <c r="K1225" s="18"/>
      <c r="L1225" s="18"/>
      <c r="M1225" s="18"/>
      <c r="N1225" s="18"/>
    </row>
    <row r="1226" spans="1:14">
      <c r="A1226" s="489">
        <v>0</v>
      </c>
      <c r="B1226" s="18"/>
      <c r="C1226" s="18"/>
      <c r="D1226" s="18"/>
      <c r="E1226" s="18"/>
      <c r="F1226" s="18"/>
      <c r="G1226" s="18"/>
      <c r="H1226" s="18"/>
      <c r="I1226" s="18"/>
      <c r="J1226" s="18"/>
      <c r="K1226" s="18"/>
      <c r="L1226" s="18"/>
      <c r="M1226" s="18"/>
      <c r="N1226" s="18"/>
    </row>
    <row r="1227" spans="1:14">
      <c r="A1227" s="753">
        <v>0</v>
      </c>
      <c r="B1227" s="18"/>
      <c r="C1227" s="18"/>
      <c r="D1227" s="18"/>
      <c r="E1227" s="18"/>
      <c r="F1227" s="18"/>
      <c r="G1227" s="18"/>
      <c r="H1227" s="18"/>
      <c r="I1227" s="18"/>
      <c r="J1227" s="18"/>
      <c r="K1227" s="18"/>
      <c r="L1227" s="18"/>
      <c r="M1227" s="18"/>
      <c r="N1227" s="18"/>
    </row>
    <row r="1228" spans="1:14">
      <c r="A1228" s="754" t="s">
        <v>898</v>
      </c>
      <c r="B1228" s="18"/>
      <c r="C1228" s="18"/>
      <c r="D1228" s="18"/>
      <c r="E1228" s="18"/>
      <c r="F1228" s="18"/>
      <c r="G1228" s="18"/>
      <c r="H1228" s="18">
        <v>1500443.2</v>
      </c>
      <c r="I1228" s="18"/>
      <c r="J1228" s="18"/>
      <c r="K1228" s="18"/>
      <c r="L1228" s="18"/>
      <c r="M1228" s="18"/>
      <c r="N1228" s="18">
        <v>1500443.2</v>
      </c>
    </row>
    <row r="1229" spans="1:14">
      <c r="A1229" s="754" t="s">
        <v>901</v>
      </c>
      <c r="B1229" s="18"/>
      <c r="C1229" s="18"/>
      <c r="D1229" s="18"/>
      <c r="E1229" s="18"/>
      <c r="F1229" s="18"/>
      <c r="G1229" s="18"/>
      <c r="H1229" s="18">
        <v>3248644.89</v>
      </c>
      <c r="I1229" s="18"/>
      <c r="J1229" s="18"/>
      <c r="K1229" s="18"/>
      <c r="L1229" s="18"/>
      <c r="M1229" s="18"/>
      <c r="N1229" s="18">
        <v>3248644.89</v>
      </c>
    </row>
    <row r="1230" spans="1:14">
      <c r="A1230" s="754" t="s">
        <v>903</v>
      </c>
      <c r="B1230" s="18"/>
      <c r="C1230" s="18"/>
      <c r="D1230" s="18"/>
      <c r="E1230" s="18"/>
      <c r="F1230" s="18"/>
      <c r="G1230" s="18"/>
      <c r="H1230" s="18">
        <v>270000</v>
      </c>
      <c r="I1230" s="18"/>
      <c r="J1230" s="18"/>
      <c r="K1230" s="18"/>
      <c r="L1230" s="18"/>
      <c r="M1230" s="18"/>
      <c r="N1230" s="18">
        <v>270000</v>
      </c>
    </row>
    <row r="1231" spans="1:14">
      <c r="A1231" s="754" t="s">
        <v>905</v>
      </c>
      <c r="B1231" s="18"/>
      <c r="C1231" s="18"/>
      <c r="D1231" s="18"/>
      <c r="E1231" s="18"/>
      <c r="F1231" s="18"/>
      <c r="G1231" s="18"/>
      <c r="H1231" s="18">
        <v>0</v>
      </c>
      <c r="I1231" s="18"/>
      <c r="J1231" s="18"/>
      <c r="K1231" s="18"/>
      <c r="L1231" s="18"/>
      <c r="M1231" s="18"/>
      <c r="N1231" s="18">
        <v>0</v>
      </c>
    </row>
    <row r="1232" spans="1:14">
      <c r="A1232" s="754" t="s">
        <v>174</v>
      </c>
      <c r="B1232" s="18"/>
      <c r="C1232" s="18"/>
      <c r="D1232" s="18"/>
      <c r="E1232" s="18"/>
      <c r="F1232" s="18"/>
      <c r="G1232" s="18"/>
      <c r="H1232" s="18">
        <v>0</v>
      </c>
      <c r="I1232" s="18"/>
      <c r="J1232" s="18"/>
      <c r="K1232" s="18"/>
      <c r="L1232" s="18"/>
      <c r="M1232" s="18"/>
      <c r="N1232" s="18">
        <v>0</v>
      </c>
    </row>
    <row r="1233" spans="1:14">
      <c r="A1233" s="489" t="s">
        <v>1755</v>
      </c>
      <c r="B1233" s="18"/>
      <c r="C1233" s="18"/>
      <c r="D1233" s="18"/>
      <c r="E1233" s="18"/>
      <c r="F1233" s="18"/>
      <c r="G1233" s="18"/>
      <c r="H1233" s="18">
        <v>1500443.2</v>
      </c>
      <c r="I1233" s="18"/>
      <c r="J1233" s="18"/>
      <c r="K1233" s="18"/>
      <c r="L1233" s="18"/>
      <c r="M1233" s="18"/>
      <c r="N1233" s="18">
        <v>1500443.2</v>
      </c>
    </row>
    <row r="1234" spans="1:14">
      <c r="A1234" s="489" t="s">
        <v>1545</v>
      </c>
      <c r="B1234" s="18"/>
      <c r="C1234" s="18"/>
      <c r="D1234" s="18"/>
      <c r="E1234" s="18"/>
      <c r="F1234" s="18"/>
      <c r="G1234" s="18"/>
      <c r="H1234" s="18">
        <v>3248644.89</v>
      </c>
      <c r="I1234" s="18"/>
      <c r="J1234" s="18"/>
      <c r="K1234" s="18"/>
      <c r="L1234" s="18"/>
      <c r="M1234" s="18"/>
      <c r="N1234" s="18">
        <v>3248644.89</v>
      </c>
    </row>
    <row r="1235" spans="1:14">
      <c r="A1235" s="489" t="s">
        <v>1335</v>
      </c>
      <c r="B1235" s="18"/>
      <c r="C1235" s="18"/>
      <c r="D1235" s="18"/>
      <c r="E1235" s="18"/>
      <c r="F1235" s="18"/>
      <c r="G1235" s="18"/>
      <c r="H1235" s="18">
        <v>270000</v>
      </c>
      <c r="I1235" s="18"/>
      <c r="J1235" s="18"/>
      <c r="K1235" s="18"/>
      <c r="L1235" s="18"/>
      <c r="M1235" s="18"/>
      <c r="N1235" s="18">
        <v>270000</v>
      </c>
    </row>
    <row r="1236" spans="1:14">
      <c r="A1236" s="489" t="s">
        <v>1125</v>
      </c>
      <c r="B1236" s="18"/>
      <c r="C1236" s="18"/>
      <c r="D1236" s="18"/>
      <c r="E1236" s="18"/>
      <c r="F1236" s="18"/>
      <c r="G1236" s="18"/>
      <c r="H1236" s="18">
        <v>0</v>
      </c>
      <c r="I1236" s="18"/>
      <c r="J1236" s="18"/>
      <c r="K1236" s="18"/>
      <c r="L1236" s="18"/>
      <c r="M1236" s="18"/>
      <c r="N1236" s="18">
        <v>0</v>
      </c>
    </row>
    <row r="1237" spans="1:14">
      <c r="A1237" s="489" t="s">
        <v>915</v>
      </c>
      <c r="B1237" s="18"/>
      <c r="C1237" s="18"/>
      <c r="D1237" s="18"/>
      <c r="E1237" s="18"/>
      <c r="F1237" s="18"/>
      <c r="G1237" s="18"/>
      <c r="H1237" s="18">
        <v>0</v>
      </c>
      <c r="I1237" s="18"/>
      <c r="J1237" s="18"/>
      <c r="K1237" s="18"/>
      <c r="L1237" s="18"/>
      <c r="M1237" s="18"/>
      <c r="N1237" s="18">
        <v>0</v>
      </c>
    </row>
    <row r="1238" spans="1:14">
      <c r="A1238" s="347" t="s">
        <v>1881</v>
      </c>
      <c r="B1238" s="18"/>
      <c r="C1238" s="18"/>
      <c r="D1238" s="18"/>
      <c r="E1238" s="18"/>
      <c r="F1238" s="18"/>
      <c r="G1238" s="18"/>
      <c r="H1238" s="18">
        <v>1500443.2</v>
      </c>
      <c r="I1238" s="18"/>
      <c r="J1238" s="18"/>
      <c r="K1238" s="18"/>
      <c r="L1238" s="18"/>
      <c r="M1238" s="18"/>
      <c r="N1238" s="18">
        <v>1500443.2</v>
      </c>
    </row>
    <row r="1239" spans="1:14">
      <c r="A1239" s="347" t="s">
        <v>1671</v>
      </c>
      <c r="B1239" s="18"/>
      <c r="C1239" s="18"/>
      <c r="D1239" s="18"/>
      <c r="E1239" s="18"/>
      <c r="F1239" s="18"/>
      <c r="G1239" s="18"/>
      <c r="H1239" s="18">
        <v>3248644.89</v>
      </c>
      <c r="I1239" s="18"/>
      <c r="J1239" s="18"/>
      <c r="K1239" s="18"/>
      <c r="L1239" s="18"/>
      <c r="M1239" s="18"/>
      <c r="N1239" s="18">
        <v>3248644.89</v>
      </c>
    </row>
    <row r="1240" spans="1:14">
      <c r="A1240" s="347" t="s">
        <v>1461</v>
      </c>
      <c r="B1240" s="18"/>
      <c r="C1240" s="18"/>
      <c r="D1240" s="18"/>
      <c r="E1240" s="18"/>
      <c r="F1240" s="18"/>
      <c r="G1240" s="18"/>
      <c r="H1240" s="18">
        <v>270000</v>
      </c>
      <c r="I1240" s="18"/>
      <c r="J1240" s="18"/>
      <c r="K1240" s="18"/>
      <c r="L1240" s="18"/>
      <c r="M1240" s="18"/>
      <c r="N1240" s="18">
        <v>270000</v>
      </c>
    </row>
    <row r="1241" spans="1:14">
      <c r="A1241" s="347" t="s">
        <v>1251</v>
      </c>
      <c r="B1241" s="18"/>
      <c r="C1241" s="18"/>
      <c r="D1241" s="18"/>
      <c r="E1241" s="18"/>
      <c r="F1241" s="18"/>
      <c r="G1241" s="18"/>
      <c r="H1241" s="18">
        <v>0</v>
      </c>
      <c r="I1241" s="18"/>
      <c r="J1241" s="18"/>
      <c r="K1241" s="18"/>
      <c r="L1241" s="18"/>
      <c r="M1241" s="18"/>
      <c r="N1241" s="18">
        <v>0</v>
      </c>
    </row>
    <row r="1242" spans="1:14">
      <c r="A1242" s="347" t="s">
        <v>1041</v>
      </c>
      <c r="B1242" s="18"/>
      <c r="C1242" s="18"/>
      <c r="D1242" s="18"/>
      <c r="E1242" s="18"/>
      <c r="F1242" s="18"/>
      <c r="G1242" s="18"/>
      <c r="H1242" s="18">
        <v>0</v>
      </c>
      <c r="I1242" s="18"/>
      <c r="J1242" s="18"/>
      <c r="K1242" s="18"/>
      <c r="L1242" s="18"/>
      <c r="M1242" s="18"/>
      <c r="N1242" s="18">
        <v>0</v>
      </c>
    </row>
    <row r="1243" spans="1:14">
      <c r="A1243" s="19" t="s">
        <v>1834</v>
      </c>
      <c r="B1243" s="18"/>
      <c r="C1243" s="18"/>
      <c r="D1243" s="18"/>
      <c r="E1243" s="18"/>
      <c r="F1243" s="18"/>
      <c r="G1243" s="18"/>
      <c r="H1243" s="18">
        <v>1500443.2</v>
      </c>
      <c r="I1243" s="18"/>
      <c r="J1243" s="18"/>
      <c r="K1243" s="18"/>
      <c r="L1243" s="18"/>
      <c r="M1243" s="18"/>
      <c r="N1243" s="18">
        <v>1500443.2</v>
      </c>
    </row>
    <row r="1244" spans="1:14">
      <c r="A1244" s="19" t="s">
        <v>1624</v>
      </c>
      <c r="B1244" s="18"/>
      <c r="C1244" s="18"/>
      <c r="D1244" s="18"/>
      <c r="E1244" s="18"/>
      <c r="F1244" s="18"/>
      <c r="G1244" s="18"/>
      <c r="H1244" s="18">
        <v>3248644.89</v>
      </c>
      <c r="I1244" s="18"/>
      <c r="J1244" s="18"/>
      <c r="K1244" s="18"/>
      <c r="L1244" s="18"/>
      <c r="M1244" s="18"/>
      <c r="N1244" s="18">
        <v>3248644.89</v>
      </c>
    </row>
    <row r="1245" spans="1:14">
      <c r="A1245" s="19" t="s">
        <v>1414</v>
      </c>
      <c r="B1245" s="18"/>
      <c r="C1245" s="18"/>
      <c r="D1245" s="18"/>
      <c r="E1245" s="18"/>
      <c r="F1245" s="18"/>
      <c r="G1245" s="18"/>
      <c r="H1245" s="18">
        <v>270000</v>
      </c>
      <c r="I1245" s="18"/>
      <c r="J1245" s="18"/>
      <c r="K1245" s="18"/>
      <c r="L1245" s="18"/>
      <c r="M1245" s="18"/>
      <c r="N1245" s="18">
        <v>270000</v>
      </c>
    </row>
    <row r="1246" spans="1:14">
      <c r="A1246" s="19" t="s">
        <v>1204</v>
      </c>
      <c r="B1246" s="18"/>
      <c r="C1246" s="18"/>
      <c r="D1246" s="18"/>
      <c r="E1246" s="18"/>
      <c r="F1246" s="18"/>
      <c r="G1246" s="18"/>
      <c r="H1246" s="18">
        <v>0</v>
      </c>
      <c r="I1246" s="18"/>
      <c r="J1246" s="18"/>
      <c r="K1246" s="18"/>
      <c r="L1246" s="18"/>
      <c r="M1246" s="18"/>
      <c r="N1246" s="18">
        <v>0</v>
      </c>
    </row>
    <row r="1247" spans="1:14">
      <c r="A1247" s="19" t="s">
        <v>994</v>
      </c>
      <c r="B1247" s="18"/>
      <c r="C1247" s="18"/>
      <c r="D1247" s="18"/>
      <c r="E1247" s="18"/>
      <c r="F1247" s="18"/>
      <c r="G1247" s="18"/>
      <c r="H1247" s="18">
        <v>0</v>
      </c>
      <c r="I1247" s="18"/>
      <c r="J1247" s="18"/>
      <c r="K1247" s="18"/>
      <c r="L1247" s="18"/>
      <c r="M1247" s="18"/>
      <c r="N1247" s="18">
        <v>0</v>
      </c>
    </row>
    <row r="1248" spans="1:14">
      <c r="A1248" s="4" t="s">
        <v>1882</v>
      </c>
      <c r="B1248" s="18"/>
      <c r="C1248" s="18"/>
      <c r="D1248" s="18"/>
      <c r="E1248" s="18"/>
      <c r="F1248" s="18"/>
      <c r="G1248" s="18"/>
      <c r="H1248" s="18">
        <v>1500443.2</v>
      </c>
      <c r="I1248" s="18"/>
      <c r="J1248" s="18"/>
      <c r="K1248" s="18"/>
      <c r="L1248" s="18"/>
      <c r="M1248" s="18"/>
      <c r="N1248" s="18">
        <v>1500443.2</v>
      </c>
    </row>
    <row r="1249" spans="1:14">
      <c r="A1249" s="4" t="s">
        <v>1672</v>
      </c>
      <c r="B1249" s="18"/>
      <c r="C1249" s="18"/>
      <c r="D1249" s="18"/>
      <c r="E1249" s="18"/>
      <c r="F1249" s="18"/>
      <c r="G1249" s="18"/>
      <c r="H1249" s="18">
        <v>3248644.89</v>
      </c>
      <c r="I1249" s="18"/>
      <c r="J1249" s="18"/>
      <c r="K1249" s="18"/>
      <c r="L1249" s="18"/>
      <c r="M1249" s="18"/>
      <c r="N1249" s="18">
        <v>3248644.89</v>
      </c>
    </row>
    <row r="1250" spans="1:14">
      <c r="A1250" s="4" t="s">
        <v>1462</v>
      </c>
      <c r="B1250" s="18"/>
      <c r="C1250" s="18"/>
      <c r="D1250" s="18"/>
      <c r="E1250" s="18"/>
      <c r="F1250" s="18"/>
      <c r="G1250" s="18"/>
      <c r="H1250" s="18">
        <v>270000</v>
      </c>
      <c r="I1250" s="18"/>
      <c r="J1250" s="18"/>
      <c r="K1250" s="18"/>
      <c r="L1250" s="18"/>
      <c r="M1250" s="18"/>
      <c r="N1250" s="18">
        <v>270000</v>
      </c>
    </row>
    <row r="1251" spans="1:14">
      <c r="A1251" s="4" t="s">
        <v>1252</v>
      </c>
      <c r="B1251" s="18"/>
      <c r="C1251" s="18"/>
      <c r="D1251" s="18"/>
      <c r="E1251" s="18"/>
      <c r="F1251" s="18"/>
      <c r="G1251" s="18"/>
      <c r="H1251" s="18">
        <v>0</v>
      </c>
      <c r="I1251" s="18"/>
      <c r="J1251" s="18"/>
      <c r="K1251" s="18"/>
      <c r="L1251" s="18"/>
      <c r="M1251" s="18"/>
      <c r="N1251" s="18">
        <v>0</v>
      </c>
    </row>
    <row r="1252" spans="1:14">
      <c r="A1252" s="4" t="s">
        <v>1042</v>
      </c>
      <c r="B1252" s="18"/>
      <c r="C1252" s="18"/>
      <c r="D1252" s="18"/>
      <c r="E1252" s="18"/>
      <c r="F1252" s="18"/>
      <c r="G1252" s="18"/>
      <c r="H1252" s="18">
        <v>0</v>
      </c>
      <c r="I1252" s="18"/>
      <c r="J1252" s="18"/>
      <c r="K1252" s="18"/>
      <c r="L1252" s="18"/>
      <c r="M1252" s="18"/>
      <c r="N1252" s="18">
        <v>0</v>
      </c>
    </row>
    <row r="1253" spans="1:14">
      <c r="A1253" s="4">
        <v>1552800.91</v>
      </c>
      <c r="B1253" s="18"/>
      <c r="C1253" s="18"/>
      <c r="D1253" s="18"/>
      <c r="E1253" s="18"/>
      <c r="F1253" s="18"/>
      <c r="G1253" s="18"/>
      <c r="H1253" s="18"/>
      <c r="I1253" s="18"/>
      <c r="J1253" s="18"/>
      <c r="K1253" s="18"/>
      <c r="L1253" s="18"/>
      <c r="M1253" s="18"/>
      <c r="N1253" s="18"/>
    </row>
    <row r="1254" spans="1:14">
      <c r="A1254" s="19">
        <v>800000</v>
      </c>
      <c r="B1254" s="18"/>
      <c r="C1254" s="18"/>
      <c r="D1254" s="18"/>
      <c r="E1254" s="18"/>
      <c r="F1254" s="18"/>
      <c r="G1254" s="18"/>
      <c r="H1254" s="18"/>
      <c r="I1254" s="18"/>
      <c r="J1254" s="18"/>
      <c r="K1254" s="18"/>
      <c r="L1254" s="18"/>
      <c r="M1254" s="18"/>
      <c r="N1254" s="18"/>
    </row>
    <row r="1255" spans="1:14">
      <c r="A1255" s="347">
        <v>2765236.62</v>
      </c>
      <c r="B1255" s="18"/>
      <c r="C1255" s="18"/>
      <c r="D1255" s="18"/>
      <c r="E1255" s="18"/>
      <c r="F1255" s="18"/>
      <c r="G1255" s="18"/>
      <c r="H1255" s="18"/>
      <c r="I1255" s="18"/>
      <c r="J1255" s="18"/>
      <c r="K1255" s="18"/>
      <c r="L1255" s="18"/>
      <c r="M1255" s="18"/>
      <c r="N1255" s="18"/>
    </row>
    <row r="1256" spans="1:14">
      <c r="A1256" s="489" t="s">
        <v>733</v>
      </c>
      <c r="B1256" s="18"/>
      <c r="C1256" s="18"/>
      <c r="D1256" s="18"/>
      <c r="E1256" s="18"/>
      <c r="F1256" s="18"/>
      <c r="G1256" s="18"/>
      <c r="H1256" s="18"/>
      <c r="I1256" s="18"/>
      <c r="J1256" s="18"/>
      <c r="K1256" s="18"/>
      <c r="L1256" s="18"/>
      <c r="M1256" s="18"/>
      <c r="N1256" s="18"/>
    </row>
    <row r="1257" spans="1:14">
      <c r="A1257" s="753">
        <v>0</v>
      </c>
      <c r="B1257" s="18"/>
      <c r="C1257" s="18"/>
      <c r="D1257" s="18"/>
      <c r="E1257" s="18"/>
      <c r="F1257" s="18"/>
      <c r="G1257" s="18"/>
      <c r="H1257" s="18"/>
      <c r="I1257" s="18"/>
      <c r="J1257" s="18"/>
      <c r="K1257" s="18"/>
      <c r="L1257" s="18"/>
      <c r="M1257" s="18"/>
      <c r="N1257" s="18"/>
    </row>
    <row r="1258" spans="1:14">
      <c r="A1258" s="754" t="s">
        <v>898</v>
      </c>
      <c r="B1258" s="18"/>
      <c r="C1258" s="18"/>
      <c r="D1258" s="18"/>
      <c r="E1258" s="18"/>
      <c r="F1258" s="18"/>
      <c r="G1258" s="18"/>
      <c r="H1258" s="18">
        <v>1552800.91</v>
      </c>
      <c r="I1258" s="18"/>
      <c r="J1258" s="18"/>
      <c r="K1258" s="18"/>
      <c r="L1258" s="18"/>
      <c r="M1258" s="18"/>
      <c r="N1258" s="18">
        <v>1552800.91</v>
      </c>
    </row>
    <row r="1259" spans="1:14">
      <c r="A1259" s="754" t="s">
        <v>901</v>
      </c>
      <c r="B1259" s="18"/>
      <c r="C1259" s="18"/>
      <c r="D1259" s="18"/>
      <c r="E1259" s="18"/>
      <c r="F1259" s="18"/>
      <c r="G1259" s="18"/>
      <c r="H1259" s="18">
        <v>2765236.62</v>
      </c>
      <c r="I1259" s="18"/>
      <c r="J1259" s="18"/>
      <c r="K1259" s="18"/>
      <c r="L1259" s="18"/>
      <c r="M1259" s="18"/>
      <c r="N1259" s="18">
        <v>2765236.62</v>
      </c>
    </row>
    <row r="1260" spans="1:14">
      <c r="A1260" s="754" t="s">
        <v>903</v>
      </c>
      <c r="B1260" s="18"/>
      <c r="C1260" s="18"/>
      <c r="D1260" s="18"/>
      <c r="E1260" s="18"/>
      <c r="F1260" s="18"/>
      <c r="G1260" s="18"/>
      <c r="H1260" s="18">
        <v>800000</v>
      </c>
      <c r="I1260" s="18"/>
      <c r="J1260" s="18"/>
      <c r="K1260" s="18"/>
      <c r="L1260" s="18"/>
      <c r="M1260" s="18"/>
      <c r="N1260" s="18">
        <v>800000</v>
      </c>
    </row>
    <row r="1261" spans="1:14">
      <c r="A1261" s="754" t="s">
        <v>905</v>
      </c>
      <c r="B1261" s="18"/>
      <c r="C1261" s="18"/>
      <c r="D1261" s="18"/>
      <c r="E1261" s="18"/>
      <c r="F1261" s="18"/>
      <c r="G1261" s="18"/>
      <c r="H1261" s="18"/>
      <c r="I1261" s="18"/>
      <c r="J1261" s="18"/>
      <c r="K1261" s="18"/>
      <c r="L1261" s="18"/>
      <c r="M1261" s="18"/>
      <c r="N1261" s="18"/>
    </row>
    <row r="1262" spans="1:14">
      <c r="A1262" s="754" t="s">
        <v>174</v>
      </c>
      <c r="B1262" s="18"/>
      <c r="C1262" s="18"/>
      <c r="D1262" s="18"/>
      <c r="E1262" s="18"/>
      <c r="F1262" s="18"/>
      <c r="G1262" s="18"/>
      <c r="H1262" s="18">
        <v>0</v>
      </c>
      <c r="I1262" s="18"/>
      <c r="J1262" s="18"/>
      <c r="K1262" s="18"/>
      <c r="L1262" s="18"/>
      <c r="M1262" s="18"/>
      <c r="N1262" s="18">
        <v>0</v>
      </c>
    </row>
    <row r="1263" spans="1:14">
      <c r="A1263" s="489" t="s">
        <v>1750</v>
      </c>
      <c r="B1263" s="18"/>
      <c r="C1263" s="18"/>
      <c r="D1263" s="18"/>
      <c r="E1263" s="18"/>
      <c r="F1263" s="18"/>
      <c r="G1263" s="18"/>
      <c r="H1263" s="18">
        <v>1552800.91</v>
      </c>
      <c r="I1263" s="18"/>
      <c r="J1263" s="18"/>
      <c r="K1263" s="18"/>
      <c r="L1263" s="18"/>
      <c r="M1263" s="18"/>
      <c r="N1263" s="18">
        <v>1552800.91</v>
      </c>
    </row>
    <row r="1264" spans="1:14">
      <c r="A1264" s="489" t="s">
        <v>1540</v>
      </c>
      <c r="B1264" s="18"/>
      <c r="C1264" s="18"/>
      <c r="D1264" s="18"/>
      <c r="E1264" s="18"/>
      <c r="F1264" s="18"/>
      <c r="G1264" s="18"/>
      <c r="H1264" s="18">
        <v>2765236.62</v>
      </c>
      <c r="I1264" s="18"/>
      <c r="J1264" s="18"/>
      <c r="K1264" s="18"/>
      <c r="L1264" s="18"/>
      <c r="M1264" s="18"/>
      <c r="N1264" s="18">
        <v>2765236.62</v>
      </c>
    </row>
    <row r="1265" spans="1:14">
      <c r="A1265" s="489" t="s">
        <v>1330</v>
      </c>
      <c r="B1265" s="18"/>
      <c r="C1265" s="18"/>
      <c r="D1265" s="18"/>
      <c r="E1265" s="18"/>
      <c r="F1265" s="18"/>
      <c r="G1265" s="18"/>
      <c r="H1265" s="18">
        <v>800000</v>
      </c>
      <c r="I1265" s="18"/>
      <c r="J1265" s="18"/>
      <c r="K1265" s="18"/>
      <c r="L1265" s="18"/>
      <c r="M1265" s="18"/>
      <c r="N1265" s="18">
        <v>800000</v>
      </c>
    </row>
    <row r="1266" spans="1:14">
      <c r="A1266" s="489" t="s">
        <v>1120</v>
      </c>
      <c r="B1266" s="18"/>
      <c r="C1266" s="18"/>
      <c r="D1266" s="18"/>
      <c r="E1266" s="18"/>
      <c r="F1266" s="18"/>
      <c r="G1266" s="18"/>
      <c r="H1266" s="18"/>
      <c r="I1266" s="18"/>
      <c r="J1266" s="18"/>
      <c r="K1266" s="18"/>
      <c r="L1266" s="18"/>
      <c r="M1266" s="18"/>
      <c r="N1266" s="18"/>
    </row>
    <row r="1267" spans="1:14">
      <c r="A1267" s="489" t="s">
        <v>910</v>
      </c>
      <c r="B1267" s="18"/>
      <c r="C1267" s="18"/>
      <c r="D1267" s="18"/>
      <c r="E1267" s="18"/>
      <c r="F1267" s="18"/>
      <c r="G1267" s="18"/>
      <c r="H1267" s="18">
        <v>0</v>
      </c>
      <c r="I1267" s="18"/>
      <c r="J1267" s="18"/>
      <c r="K1267" s="18"/>
      <c r="L1267" s="18"/>
      <c r="M1267" s="18"/>
      <c r="N1267" s="18">
        <v>0</v>
      </c>
    </row>
    <row r="1268" spans="1:14">
      <c r="A1268" s="347" t="s">
        <v>1883</v>
      </c>
      <c r="B1268" s="18"/>
      <c r="C1268" s="18"/>
      <c r="D1268" s="18"/>
      <c r="E1268" s="18"/>
      <c r="F1268" s="18"/>
      <c r="G1268" s="18"/>
      <c r="H1268" s="18">
        <v>1552800.91</v>
      </c>
      <c r="I1268" s="18"/>
      <c r="J1268" s="18"/>
      <c r="K1268" s="18"/>
      <c r="L1268" s="18"/>
      <c r="M1268" s="18"/>
      <c r="N1268" s="18">
        <v>1552800.91</v>
      </c>
    </row>
    <row r="1269" spans="1:14">
      <c r="A1269" s="347" t="s">
        <v>1673</v>
      </c>
      <c r="B1269" s="18"/>
      <c r="C1269" s="18"/>
      <c r="D1269" s="18"/>
      <c r="E1269" s="18"/>
      <c r="F1269" s="18"/>
      <c r="G1269" s="18"/>
      <c r="H1269" s="18">
        <v>2765236.62</v>
      </c>
      <c r="I1269" s="18"/>
      <c r="J1269" s="18"/>
      <c r="K1269" s="18"/>
      <c r="L1269" s="18"/>
      <c r="M1269" s="18"/>
      <c r="N1269" s="18">
        <v>2765236.62</v>
      </c>
    </row>
    <row r="1270" spans="1:14">
      <c r="A1270" s="347" t="s">
        <v>1463</v>
      </c>
      <c r="B1270" s="18"/>
      <c r="C1270" s="18"/>
      <c r="D1270" s="18"/>
      <c r="E1270" s="18"/>
      <c r="F1270" s="18"/>
      <c r="G1270" s="18"/>
      <c r="H1270" s="18">
        <v>800000</v>
      </c>
      <c r="I1270" s="18"/>
      <c r="J1270" s="18"/>
      <c r="K1270" s="18"/>
      <c r="L1270" s="18"/>
      <c r="M1270" s="18"/>
      <c r="N1270" s="18">
        <v>800000</v>
      </c>
    </row>
    <row r="1271" spans="1:14">
      <c r="A1271" s="347" t="s">
        <v>1253</v>
      </c>
      <c r="B1271" s="18"/>
      <c r="C1271" s="18"/>
      <c r="D1271" s="18"/>
      <c r="E1271" s="18"/>
      <c r="F1271" s="18"/>
      <c r="G1271" s="18"/>
      <c r="H1271" s="18"/>
      <c r="I1271" s="18"/>
      <c r="J1271" s="18"/>
      <c r="K1271" s="18"/>
      <c r="L1271" s="18"/>
      <c r="M1271" s="18"/>
      <c r="N1271" s="18"/>
    </row>
    <row r="1272" spans="1:14">
      <c r="A1272" s="347" t="s">
        <v>1043</v>
      </c>
      <c r="B1272" s="18"/>
      <c r="C1272" s="18"/>
      <c r="D1272" s="18"/>
      <c r="E1272" s="18"/>
      <c r="F1272" s="18"/>
      <c r="G1272" s="18"/>
      <c r="H1272" s="18">
        <v>0</v>
      </c>
      <c r="I1272" s="18"/>
      <c r="J1272" s="18"/>
      <c r="K1272" s="18"/>
      <c r="L1272" s="18"/>
      <c r="M1272" s="18"/>
      <c r="N1272" s="18">
        <v>0</v>
      </c>
    </row>
    <row r="1273" spans="1:14">
      <c r="A1273" s="19" t="s">
        <v>1884</v>
      </c>
      <c r="B1273" s="18"/>
      <c r="C1273" s="18"/>
      <c r="D1273" s="18"/>
      <c r="E1273" s="18"/>
      <c r="F1273" s="18"/>
      <c r="G1273" s="18"/>
      <c r="H1273" s="18">
        <v>1552800.91</v>
      </c>
      <c r="I1273" s="18"/>
      <c r="J1273" s="18"/>
      <c r="K1273" s="18"/>
      <c r="L1273" s="18"/>
      <c r="M1273" s="18"/>
      <c r="N1273" s="18">
        <v>1552800.91</v>
      </c>
    </row>
    <row r="1274" spans="1:14">
      <c r="A1274" s="19" t="s">
        <v>1674</v>
      </c>
      <c r="B1274" s="18"/>
      <c r="C1274" s="18"/>
      <c r="D1274" s="18"/>
      <c r="E1274" s="18"/>
      <c r="F1274" s="18"/>
      <c r="G1274" s="18"/>
      <c r="H1274" s="18">
        <v>2765236.62</v>
      </c>
      <c r="I1274" s="18"/>
      <c r="J1274" s="18"/>
      <c r="K1274" s="18"/>
      <c r="L1274" s="18"/>
      <c r="M1274" s="18"/>
      <c r="N1274" s="18">
        <v>2765236.62</v>
      </c>
    </row>
    <row r="1275" spans="1:14">
      <c r="A1275" s="19" t="s">
        <v>1464</v>
      </c>
      <c r="B1275" s="18"/>
      <c r="C1275" s="18"/>
      <c r="D1275" s="18"/>
      <c r="E1275" s="18"/>
      <c r="F1275" s="18"/>
      <c r="G1275" s="18"/>
      <c r="H1275" s="18">
        <v>800000</v>
      </c>
      <c r="I1275" s="18"/>
      <c r="J1275" s="18"/>
      <c r="K1275" s="18"/>
      <c r="L1275" s="18"/>
      <c r="M1275" s="18"/>
      <c r="N1275" s="18">
        <v>800000</v>
      </c>
    </row>
    <row r="1276" spans="1:14">
      <c r="A1276" s="19" t="s">
        <v>1254</v>
      </c>
      <c r="B1276" s="18"/>
      <c r="C1276" s="18"/>
      <c r="D1276" s="18"/>
      <c r="E1276" s="18"/>
      <c r="F1276" s="18"/>
      <c r="G1276" s="18"/>
      <c r="H1276" s="18"/>
      <c r="I1276" s="18"/>
      <c r="J1276" s="18"/>
      <c r="K1276" s="18"/>
      <c r="L1276" s="18"/>
      <c r="M1276" s="18"/>
      <c r="N1276" s="18"/>
    </row>
    <row r="1277" spans="1:14">
      <c r="A1277" s="19" t="s">
        <v>1044</v>
      </c>
      <c r="B1277" s="18"/>
      <c r="C1277" s="18"/>
      <c r="D1277" s="18"/>
      <c r="E1277" s="18"/>
      <c r="F1277" s="18"/>
      <c r="G1277" s="18"/>
      <c r="H1277" s="18">
        <v>0</v>
      </c>
      <c r="I1277" s="18"/>
      <c r="J1277" s="18"/>
      <c r="K1277" s="18"/>
      <c r="L1277" s="18"/>
      <c r="M1277" s="18"/>
      <c r="N1277" s="18">
        <v>0</v>
      </c>
    </row>
    <row r="1278" spans="1:14">
      <c r="A1278" s="4" t="s">
        <v>1885</v>
      </c>
      <c r="B1278" s="18"/>
      <c r="C1278" s="18"/>
      <c r="D1278" s="18"/>
      <c r="E1278" s="18"/>
      <c r="F1278" s="18"/>
      <c r="G1278" s="18"/>
      <c r="H1278" s="18">
        <v>1552800.91</v>
      </c>
      <c r="I1278" s="18"/>
      <c r="J1278" s="18"/>
      <c r="K1278" s="18"/>
      <c r="L1278" s="18"/>
      <c r="M1278" s="18"/>
      <c r="N1278" s="18">
        <v>1552800.91</v>
      </c>
    </row>
    <row r="1279" spans="1:14">
      <c r="A1279" s="4" t="s">
        <v>1675</v>
      </c>
      <c r="B1279" s="18"/>
      <c r="C1279" s="18"/>
      <c r="D1279" s="18"/>
      <c r="E1279" s="18"/>
      <c r="F1279" s="18"/>
      <c r="G1279" s="18"/>
      <c r="H1279" s="18">
        <v>2765236.62</v>
      </c>
      <c r="I1279" s="18"/>
      <c r="J1279" s="18"/>
      <c r="K1279" s="18"/>
      <c r="L1279" s="18"/>
      <c r="M1279" s="18"/>
      <c r="N1279" s="18">
        <v>2765236.62</v>
      </c>
    </row>
    <row r="1280" spans="1:14">
      <c r="A1280" s="4" t="s">
        <v>1465</v>
      </c>
      <c r="B1280" s="18"/>
      <c r="C1280" s="18"/>
      <c r="D1280" s="18"/>
      <c r="E1280" s="18"/>
      <c r="F1280" s="18"/>
      <c r="G1280" s="18"/>
      <c r="H1280" s="18">
        <v>800000</v>
      </c>
      <c r="I1280" s="18"/>
      <c r="J1280" s="18"/>
      <c r="K1280" s="18"/>
      <c r="L1280" s="18"/>
      <c r="M1280" s="18"/>
      <c r="N1280" s="18">
        <v>800000</v>
      </c>
    </row>
    <row r="1281" spans="1:14">
      <c r="A1281" s="4" t="s">
        <v>1255</v>
      </c>
      <c r="B1281" s="18"/>
      <c r="C1281" s="18"/>
      <c r="D1281" s="18"/>
      <c r="E1281" s="18"/>
      <c r="F1281" s="18"/>
      <c r="G1281" s="18"/>
      <c r="H1281" s="18"/>
      <c r="I1281" s="18"/>
      <c r="J1281" s="18"/>
      <c r="K1281" s="18"/>
      <c r="L1281" s="18"/>
      <c r="M1281" s="18"/>
      <c r="N1281" s="18"/>
    </row>
    <row r="1282" spans="1:14">
      <c r="A1282" s="4" t="s">
        <v>1045</v>
      </c>
      <c r="B1282" s="18"/>
      <c r="C1282" s="18"/>
      <c r="D1282" s="18"/>
      <c r="E1282" s="18"/>
      <c r="F1282" s="18"/>
      <c r="G1282" s="18"/>
      <c r="H1282" s="18">
        <v>0</v>
      </c>
      <c r="I1282" s="18"/>
      <c r="J1282" s="18"/>
      <c r="K1282" s="18"/>
      <c r="L1282" s="18"/>
      <c r="M1282" s="18"/>
      <c r="N1282" s="18">
        <v>0</v>
      </c>
    </row>
    <row r="1283" spans="1:14">
      <c r="A1283" s="4">
        <v>1600171.58</v>
      </c>
      <c r="B1283" s="18"/>
      <c r="C1283" s="18"/>
      <c r="D1283" s="18"/>
      <c r="E1283" s="18"/>
      <c r="F1283" s="18"/>
      <c r="G1283" s="18"/>
      <c r="H1283" s="18"/>
      <c r="I1283" s="18"/>
      <c r="J1283" s="18"/>
      <c r="K1283" s="18"/>
      <c r="L1283" s="18"/>
      <c r="M1283" s="18"/>
      <c r="N1283" s="18"/>
    </row>
    <row r="1284" spans="1:14">
      <c r="A1284" s="19">
        <v>680000</v>
      </c>
      <c r="B1284" s="18"/>
      <c r="C1284" s="18"/>
      <c r="D1284" s="18"/>
      <c r="E1284" s="18"/>
      <c r="F1284" s="18"/>
      <c r="G1284" s="18"/>
      <c r="H1284" s="18"/>
      <c r="I1284" s="18"/>
      <c r="J1284" s="18"/>
      <c r="K1284" s="18"/>
      <c r="L1284" s="18"/>
      <c r="M1284" s="18"/>
      <c r="N1284" s="18"/>
    </row>
    <row r="1285" spans="1:14">
      <c r="A1285" s="347">
        <v>3023907</v>
      </c>
      <c r="B1285" s="18"/>
      <c r="C1285" s="18"/>
      <c r="D1285" s="18"/>
      <c r="E1285" s="18"/>
      <c r="F1285" s="18"/>
      <c r="G1285" s="18"/>
      <c r="H1285" s="18"/>
      <c r="I1285" s="18"/>
      <c r="J1285" s="18"/>
      <c r="K1285" s="18"/>
      <c r="L1285" s="18"/>
      <c r="M1285" s="18"/>
      <c r="N1285" s="18"/>
    </row>
    <row r="1286" spans="1:14">
      <c r="A1286" s="489">
        <v>0</v>
      </c>
      <c r="B1286" s="18"/>
      <c r="C1286" s="18"/>
      <c r="D1286" s="18"/>
      <c r="E1286" s="18"/>
      <c r="F1286" s="18"/>
      <c r="G1286" s="18"/>
      <c r="H1286" s="18"/>
      <c r="I1286" s="18"/>
      <c r="J1286" s="18"/>
      <c r="K1286" s="18"/>
      <c r="L1286" s="18"/>
      <c r="M1286" s="18"/>
      <c r="N1286" s="18"/>
    </row>
    <row r="1287" spans="1:14">
      <c r="A1287" s="753">
        <v>580982.02</v>
      </c>
      <c r="B1287" s="18"/>
      <c r="C1287" s="18"/>
      <c r="D1287" s="18"/>
      <c r="E1287" s="18"/>
      <c r="F1287" s="18"/>
      <c r="G1287" s="18"/>
      <c r="H1287" s="18"/>
      <c r="I1287" s="18"/>
      <c r="J1287" s="18"/>
      <c r="K1287" s="18"/>
      <c r="L1287" s="18"/>
      <c r="M1287" s="18"/>
      <c r="N1287" s="18"/>
    </row>
    <row r="1288" spans="1:14">
      <c r="A1288" s="754" t="s">
        <v>898</v>
      </c>
      <c r="B1288" s="18"/>
      <c r="C1288" s="18"/>
      <c r="D1288" s="18"/>
      <c r="E1288" s="18">
        <v>1600171.58</v>
      </c>
      <c r="F1288" s="18"/>
      <c r="G1288" s="18"/>
      <c r="H1288" s="18"/>
      <c r="I1288" s="18"/>
      <c r="J1288" s="18"/>
      <c r="K1288" s="18"/>
      <c r="L1288" s="18"/>
      <c r="M1288" s="18"/>
      <c r="N1288" s="18">
        <v>1600171.58</v>
      </c>
    </row>
    <row r="1289" spans="1:14">
      <c r="A1289" s="754" t="s">
        <v>901</v>
      </c>
      <c r="B1289" s="18"/>
      <c r="C1289" s="18"/>
      <c r="D1289" s="18"/>
      <c r="E1289" s="18">
        <v>3023907</v>
      </c>
      <c r="F1289" s="18"/>
      <c r="G1289" s="18"/>
      <c r="H1289" s="18"/>
      <c r="I1289" s="18"/>
      <c r="J1289" s="18"/>
      <c r="K1289" s="18"/>
      <c r="L1289" s="18"/>
      <c r="M1289" s="18"/>
      <c r="N1289" s="18">
        <v>3023907</v>
      </c>
    </row>
    <row r="1290" spans="1:14">
      <c r="A1290" s="754" t="s">
        <v>903</v>
      </c>
      <c r="B1290" s="18"/>
      <c r="C1290" s="18"/>
      <c r="D1290" s="18"/>
      <c r="E1290" s="18">
        <v>680000</v>
      </c>
      <c r="F1290" s="18"/>
      <c r="G1290" s="18"/>
      <c r="H1290" s="18"/>
      <c r="I1290" s="18"/>
      <c r="J1290" s="18"/>
      <c r="K1290" s="18"/>
      <c r="L1290" s="18"/>
      <c r="M1290" s="18"/>
      <c r="N1290" s="18">
        <v>680000</v>
      </c>
    </row>
    <row r="1291" spans="1:14">
      <c r="A1291" s="754" t="s">
        <v>905</v>
      </c>
      <c r="B1291" s="18"/>
      <c r="C1291" s="18"/>
      <c r="D1291" s="18"/>
      <c r="E1291" s="18">
        <v>0</v>
      </c>
      <c r="F1291" s="18"/>
      <c r="G1291" s="18"/>
      <c r="H1291" s="18"/>
      <c r="I1291" s="18"/>
      <c r="J1291" s="18"/>
      <c r="K1291" s="18"/>
      <c r="L1291" s="18"/>
      <c r="M1291" s="18"/>
      <c r="N1291" s="18">
        <v>0</v>
      </c>
    </row>
    <row r="1292" spans="1:14">
      <c r="A1292" s="754" t="s">
        <v>174</v>
      </c>
      <c r="B1292" s="18"/>
      <c r="C1292" s="18"/>
      <c r="D1292" s="18"/>
      <c r="E1292" s="18">
        <v>580982.02</v>
      </c>
      <c r="F1292" s="18"/>
      <c r="G1292" s="18"/>
      <c r="H1292" s="18"/>
      <c r="I1292" s="18"/>
      <c r="J1292" s="18"/>
      <c r="K1292" s="18"/>
      <c r="L1292" s="18"/>
      <c r="M1292" s="18"/>
      <c r="N1292" s="18">
        <v>580982.02</v>
      </c>
    </row>
    <row r="1293" spans="1:14">
      <c r="A1293" s="489" t="s">
        <v>1755</v>
      </c>
      <c r="B1293" s="18"/>
      <c r="C1293" s="18"/>
      <c r="D1293" s="18"/>
      <c r="E1293" s="18">
        <v>1600171.58</v>
      </c>
      <c r="F1293" s="18"/>
      <c r="G1293" s="18"/>
      <c r="H1293" s="18"/>
      <c r="I1293" s="18"/>
      <c r="J1293" s="18"/>
      <c r="K1293" s="18"/>
      <c r="L1293" s="18"/>
      <c r="M1293" s="18"/>
      <c r="N1293" s="18">
        <v>1600171.58</v>
      </c>
    </row>
    <row r="1294" spans="1:14">
      <c r="A1294" s="489" t="s">
        <v>1545</v>
      </c>
      <c r="B1294" s="18"/>
      <c r="C1294" s="18"/>
      <c r="D1294" s="18"/>
      <c r="E1294" s="18">
        <v>3023907</v>
      </c>
      <c r="F1294" s="18"/>
      <c r="G1294" s="18"/>
      <c r="H1294" s="18"/>
      <c r="I1294" s="18"/>
      <c r="J1294" s="18"/>
      <c r="K1294" s="18"/>
      <c r="L1294" s="18"/>
      <c r="M1294" s="18"/>
      <c r="N1294" s="18">
        <v>3023907</v>
      </c>
    </row>
    <row r="1295" spans="1:14">
      <c r="A1295" s="489" t="s">
        <v>1335</v>
      </c>
      <c r="B1295" s="18"/>
      <c r="C1295" s="18"/>
      <c r="D1295" s="18"/>
      <c r="E1295" s="18">
        <v>680000</v>
      </c>
      <c r="F1295" s="18"/>
      <c r="G1295" s="18"/>
      <c r="H1295" s="18"/>
      <c r="I1295" s="18"/>
      <c r="J1295" s="18"/>
      <c r="K1295" s="18"/>
      <c r="L1295" s="18"/>
      <c r="M1295" s="18"/>
      <c r="N1295" s="18">
        <v>680000</v>
      </c>
    </row>
    <row r="1296" spans="1:14">
      <c r="A1296" s="489" t="s">
        <v>1125</v>
      </c>
      <c r="B1296" s="18"/>
      <c r="C1296" s="18"/>
      <c r="D1296" s="18"/>
      <c r="E1296" s="18">
        <v>0</v>
      </c>
      <c r="F1296" s="18"/>
      <c r="G1296" s="18"/>
      <c r="H1296" s="18"/>
      <c r="I1296" s="18"/>
      <c r="J1296" s="18"/>
      <c r="K1296" s="18"/>
      <c r="L1296" s="18"/>
      <c r="M1296" s="18"/>
      <c r="N1296" s="18">
        <v>0</v>
      </c>
    </row>
    <row r="1297" spans="1:14">
      <c r="A1297" s="489" t="s">
        <v>915</v>
      </c>
      <c r="B1297" s="18"/>
      <c r="C1297" s="18"/>
      <c r="D1297" s="18"/>
      <c r="E1297" s="18">
        <v>580982.02</v>
      </c>
      <c r="F1297" s="18"/>
      <c r="G1297" s="18"/>
      <c r="H1297" s="18"/>
      <c r="I1297" s="18"/>
      <c r="J1297" s="18"/>
      <c r="K1297" s="18"/>
      <c r="L1297" s="18"/>
      <c r="M1297" s="18"/>
      <c r="N1297" s="18">
        <v>580982.02</v>
      </c>
    </row>
    <row r="1298" spans="1:14">
      <c r="A1298" s="347" t="s">
        <v>1886</v>
      </c>
      <c r="B1298" s="18"/>
      <c r="C1298" s="18"/>
      <c r="D1298" s="18"/>
      <c r="E1298" s="18">
        <v>1600171.58</v>
      </c>
      <c r="F1298" s="18"/>
      <c r="G1298" s="18"/>
      <c r="H1298" s="18"/>
      <c r="I1298" s="18"/>
      <c r="J1298" s="18"/>
      <c r="K1298" s="18"/>
      <c r="L1298" s="18"/>
      <c r="M1298" s="18"/>
      <c r="N1298" s="18">
        <v>1600171.58</v>
      </c>
    </row>
    <row r="1299" spans="1:14">
      <c r="A1299" s="347" t="s">
        <v>1676</v>
      </c>
      <c r="B1299" s="18"/>
      <c r="C1299" s="18"/>
      <c r="D1299" s="18"/>
      <c r="E1299" s="18">
        <v>3023907</v>
      </c>
      <c r="F1299" s="18"/>
      <c r="G1299" s="18"/>
      <c r="H1299" s="18"/>
      <c r="I1299" s="18"/>
      <c r="J1299" s="18"/>
      <c r="K1299" s="18"/>
      <c r="L1299" s="18"/>
      <c r="M1299" s="18"/>
      <c r="N1299" s="18">
        <v>3023907</v>
      </c>
    </row>
    <row r="1300" spans="1:14">
      <c r="A1300" s="347" t="s">
        <v>1466</v>
      </c>
      <c r="B1300" s="18"/>
      <c r="C1300" s="18"/>
      <c r="D1300" s="18"/>
      <c r="E1300" s="18">
        <v>680000</v>
      </c>
      <c r="F1300" s="18"/>
      <c r="G1300" s="18"/>
      <c r="H1300" s="18"/>
      <c r="I1300" s="18"/>
      <c r="J1300" s="18"/>
      <c r="K1300" s="18"/>
      <c r="L1300" s="18"/>
      <c r="M1300" s="18"/>
      <c r="N1300" s="18">
        <v>680000</v>
      </c>
    </row>
    <row r="1301" spans="1:14">
      <c r="A1301" s="347" t="s">
        <v>1256</v>
      </c>
      <c r="B1301" s="18"/>
      <c r="C1301" s="18"/>
      <c r="D1301" s="18"/>
      <c r="E1301" s="18">
        <v>0</v>
      </c>
      <c r="F1301" s="18"/>
      <c r="G1301" s="18"/>
      <c r="H1301" s="18"/>
      <c r="I1301" s="18"/>
      <c r="J1301" s="18"/>
      <c r="K1301" s="18"/>
      <c r="L1301" s="18"/>
      <c r="M1301" s="18"/>
      <c r="N1301" s="18">
        <v>0</v>
      </c>
    </row>
    <row r="1302" spans="1:14">
      <c r="A1302" s="347" t="s">
        <v>1046</v>
      </c>
      <c r="B1302" s="18"/>
      <c r="C1302" s="18"/>
      <c r="D1302" s="18"/>
      <c r="E1302" s="18">
        <v>580982.02</v>
      </c>
      <c r="F1302" s="18"/>
      <c r="G1302" s="18"/>
      <c r="H1302" s="18"/>
      <c r="I1302" s="18"/>
      <c r="J1302" s="18"/>
      <c r="K1302" s="18"/>
      <c r="L1302" s="18"/>
      <c r="M1302" s="18"/>
      <c r="N1302" s="18">
        <v>580982.02</v>
      </c>
    </row>
    <row r="1303" spans="1:14">
      <c r="A1303" s="19" t="s">
        <v>1887</v>
      </c>
      <c r="B1303" s="18"/>
      <c r="C1303" s="18"/>
      <c r="D1303" s="18"/>
      <c r="E1303" s="18">
        <v>1600171.58</v>
      </c>
      <c r="F1303" s="18"/>
      <c r="G1303" s="18"/>
      <c r="H1303" s="18"/>
      <c r="I1303" s="18"/>
      <c r="J1303" s="18"/>
      <c r="K1303" s="18"/>
      <c r="L1303" s="18"/>
      <c r="M1303" s="18"/>
      <c r="N1303" s="18">
        <v>1600171.58</v>
      </c>
    </row>
    <row r="1304" spans="1:14">
      <c r="A1304" s="19" t="s">
        <v>1677</v>
      </c>
      <c r="B1304" s="18"/>
      <c r="C1304" s="18"/>
      <c r="D1304" s="18"/>
      <c r="E1304" s="18">
        <v>3023907</v>
      </c>
      <c r="F1304" s="18"/>
      <c r="G1304" s="18"/>
      <c r="H1304" s="18"/>
      <c r="I1304" s="18"/>
      <c r="J1304" s="18"/>
      <c r="K1304" s="18"/>
      <c r="L1304" s="18"/>
      <c r="M1304" s="18"/>
      <c r="N1304" s="18">
        <v>3023907</v>
      </c>
    </row>
    <row r="1305" spans="1:14">
      <c r="A1305" s="19" t="s">
        <v>1467</v>
      </c>
      <c r="B1305" s="18"/>
      <c r="C1305" s="18"/>
      <c r="D1305" s="18"/>
      <c r="E1305" s="18">
        <v>680000</v>
      </c>
      <c r="F1305" s="18"/>
      <c r="G1305" s="18"/>
      <c r="H1305" s="18"/>
      <c r="I1305" s="18"/>
      <c r="J1305" s="18"/>
      <c r="K1305" s="18"/>
      <c r="L1305" s="18"/>
      <c r="M1305" s="18"/>
      <c r="N1305" s="18">
        <v>680000</v>
      </c>
    </row>
    <row r="1306" spans="1:14">
      <c r="A1306" s="19" t="s">
        <v>1257</v>
      </c>
      <c r="B1306" s="18"/>
      <c r="C1306" s="18"/>
      <c r="D1306" s="18"/>
      <c r="E1306" s="18">
        <v>0</v>
      </c>
      <c r="F1306" s="18"/>
      <c r="G1306" s="18"/>
      <c r="H1306" s="18"/>
      <c r="I1306" s="18"/>
      <c r="J1306" s="18"/>
      <c r="K1306" s="18"/>
      <c r="L1306" s="18"/>
      <c r="M1306" s="18"/>
      <c r="N1306" s="18">
        <v>0</v>
      </c>
    </row>
    <row r="1307" spans="1:14">
      <c r="A1307" s="19" t="s">
        <v>1047</v>
      </c>
      <c r="B1307" s="18"/>
      <c r="C1307" s="18"/>
      <c r="D1307" s="18"/>
      <c r="E1307" s="18">
        <v>580982.02</v>
      </c>
      <c r="F1307" s="18"/>
      <c r="G1307" s="18"/>
      <c r="H1307" s="18"/>
      <c r="I1307" s="18"/>
      <c r="J1307" s="18"/>
      <c r="K1307" s="18"/>
      <c r="L1307" s="18"/>
      <c r="M1307" s="18"/>
      <c r="N1307" s="18">
        <v>580982.02</v>
      </c>
    </row>
    <row r="1308" spans="1:14">
      <c r="A1308" s="4" t="s">
        <v>1888</v>
      </c>
      <c r="B1308" s="18"/>
      <c r="C1308" s="18"/>
      <c r="D1308" s="18"/>
      <c r="E1308" s="18">
        <v>1600171.58</v>
      </c>
      <c r="F1308" s="18"/>
      <c r="G1308" s="18"/>
      <c r="H1308" s="18"/>
      <c r="I1308" s="18"/>
      <c r="J1308" s="18"/>
      <c r="K1308" s="18"/>
      <c r="L1308" s="18"/>
      <c r="M1308" s="18"/>
      <c r="N1308" s="18">
        <v>1600171.58</v>
      </c>
    </row>
    <row r="1309" spans="1:14">
      <c r="A1309" s="4" t="s">
        <v>1678</v>
      </c>
      <c r="B1309" s="18"/>
      <c r="C1309" s="18"/>
      <c r="D1309" s="18"/>
      <c r="E1309" s="18">
        <v>3023907</v>
      </c>
      <c r="F1309" s="18"/>
      <c r="G1309" s="18"/>
      <c r="H1309" s="18"/>
      <c r="I1309" s="18"/>
      <c r="J1309" s="18"/>
      <c r="K1309" s="18"/>
      <c r="L1309" s="18"/>
      <c r="M1309" s="18"/>
      <c r="N1309" s="18">
        <v>3023907</v>
      </c>
    </row>
    <row r="1310" spans="1:14">
      <c r="A1310" s="4" t="s">
        <v>1468</v>
      </c>
      <c r="B1310" s="18"/>
      <c r="C1310" s="18"/>
      <c r="D1310" s="18"/>
      <c r="E1310" s="18">
        <v>680000</v>
      </c>
      <c r="F1310" s="18"/>
      <c r="G1310" s="18"/>
      <c r="H1310" s="18"/>
      <c r="I1310" s="18"/>
      <c r="J1310" s="18"/>
      <c r="K1310" s="18"/>
      <c r="L1310" s="18"/>
      <c r="M1310" s="18"/>
      <c r="N1310" s="18">
        <v>680000</v>
      </c>
    </row>
    <row r="1311" spans="1:14">
      <c r="A1311" s="4" t="s">
        <v>1258</v>
      </c>
      <c r="B1311" s="18"/>
      <c r="C1311" s="18"/>
      <c r="D1311" s="18"/>
      <c r="E1311" s="18">
        <v>0</v>
      </c>
      <c r="F1311" s="18"/>
      <c r="G1311" s="18"/>
      <c r="H1311" s="18"/>
      <c r="I1311" s="18"/>
      <c r="J1311" s="18"/>
      <c r="K1311" s="18"/>
      <c r="L1311" s="18"/>
      <c r="M1311" s="18"/>
      <c r="N1311" s="18">
        <v>0</v>
      </c>
    </row>
    <row r="1312" spans="1:14">
      <c r="A1312" s="4" t="s">
        <v>1048</v>
      </c>
      <c r="B1312" s="18"/>
      <c r="C1312" s="18"/>
      <c r="D1312" s="18"/>
      <c r="E1312" s="18">
        <v>580982.02</v>
      </c>
      <c r="F1312" s="18"/>
      <c r="G1312" s="18"/>
      <c r="H1312" s="18"/>
      <c r="I1312" s="18"/>
      <c r="J1312" s="18"/>
      <c r="K1312" s="18"/>
      <c r="L1312" s="18"/>
      <c r="M1312" s="18"/>
      <c r="N1312" s="18">
        <v>580982.02</v>
      </c>
    </row>
    <row r="1313" spans="1:14">
      <c r="A1313" s="4">
        <v>1629529</v>
      </c>
      <c r="B1313" s="18"/>
      <c r="C1313" s="18"/>
      <c r="D1313" s="18"/>
      <c r="E1313" s="18"/>
      <c r="F1313" s="18"/>
      <c r="G1313" s="18"/>
      <c r="H1313" s="18"/>
      <c r="I1313" s="18"/>
      <c r="J1313" s="18"/>
      <c r="K1313" s="18"/>
      <c r="L1313" s="18"/>
      <c r="M1313" s="18"/>
      <c r="N1313" s="18"/>
    </row>
    <row r="1314" spans="1:14">
      <c r="A1314" s="19">
        <v>945000</v>
      </c>
      <c r="B1314" s="18"/>
      <c r="C1314" s="18"/>
      <c r="D1314" s="18"/>
      <c r="E1314" s="18"/>
      <c r="F1314" s="18"/>
      <c r="G1314" s="18"/>
      <c r="H1314" s="18"/>
      <c r="I1314" s="18"/>
      <c r="J1314" s="18"/>
      <c r="K1314" s="18"/>
      <c r="L1314" s="18"/>
      <c r="M1314" s="18"/>
      <c r="N1314" s="18"/>
    </row>
    <row r="1315" spans="1:14">
      <c r="A1315" s="347">
        <v>2760459</v>
      </c>
      <c r="B1315" s="18"/>
      <c r="C1315" s="18"/>
      <c r="D1315" s="18"/>
      <c r="E1315" s="18"/>
      <c r="F1315" s="18"/>
      <c r="G1315" s="18"/>
      <c r="H1315" s="18"/>
      <c r="I1315" s="18"/>
      <c r="J1315" s="18"/>
      <c r="K1315" s="18"/>
      <c r="L1315" s="18"/>
      <c r="M1315" s="18"/>
      <c r="N1315" s="18"/>
    </row>
    <row r="1316" spans="1:14">
      <c r="A1316" s="489">
        <v>25000</v>
      </c>
      <c r="B1316" s="18"/>
      <c r="C1316" s="18"/>
      <c r="D1316" s="18"/>
      <c r="E1316" s="18"/>
      <c r="F1316" s="18"/>
      <c r="G1316" s="18"/>
      <c r="H1316" s="18"/>
      <c r="I1316" s="18"/>
      <c r="J1316" s="18"/>
      <c r="K1316" s="18"/>
      <c r="L1316" s="18"/>
      <c r="M1316" s="18"/>
      <c r="N1316" s="18"/>
    </row>
    <row r="1317" spans="1:14">
      <c r="A1317" s="753" t="s">
        <v>733</v>
      </c>
      <c r="B1317" s="18"/>
      <c r="C1317" s="18"/>
      <c r="D1317" s="18"/>
      <c r="E1317" s="18"/>
      <c r="F1317" s="18"/>
      <c r="G1317" s="18"/>
      <c r="H1317" s="18"/>
      <c r="I1317" s="18"/>
      <c r="J1317" s="18"/>
      <c r="K1317" s="18"/>
      <c r="L1317" s="18"/>
      <c r="M1317" s="18"/>
      <c r="N1317" s="18"/>
    </row>
    <row r="1318" spans="1:14">
      <c r="A1318" s="754" t="s">
        <v>898</v>
      </c>
      <c r="B1318" s="18"/>
      <c r="C1318" s="18"/>
      <c r="D1318" s="18"/>
      <c r="E1318" s="18"/>
      <c r="F1318" s="18"/>
      <c r="G1318" s="18"/>
      <c r="H1318" s="18">
        <v>1629529</v>
      </c>
      <c r="I1318" s="18"/>
      <c r="J1318" s="18"/>
      <c r="K1318" s="18"/>
      <c r="L1318" s="18"/>
      <c r="M1318" s="18"/>
      <c r="N1318" s="18">
        <v>1629529</v>
      </c>
    </row>
    <row r="1319" spans="1:14">
      <c r="A1319" s="754" t="s">
        <v>901</v>
      </c>
      <c r="B1319" s="18"/>
      <c r="C1319" s="18"/>
      <c r="D1319" s="18"/>
      <c r="E1319" s="18"/>
      <c r="F1319" s="18"/>
      <c r="G1319" s="18"/>
      <c r="H1319" s="18">
        <v>2760459</v>
      </c>
      <c r="I1319" s="18"/>
      <c r="J1319" s="18"/>
      <c r="K1319" s="18"/>
      <c r="L1319" s="18"/>
      <c r="M1319" s="18"/>
      <c r="N1319" s="18">
        <v>2760459</v>
      </c>
    </row>
    <row r="1320" spans="1:14">
      <c r="A1320" s="754" t="s">
        <v>903</v>
      </c>
      <c r="B1320" s="18"/>
      <c r="C1320" s="18"/>
      <c r="D1320" s="18"/>
      <c r="E1320" s="18"/>
      <c r="F1320" s="18"/>
      <c r="G1320" s="18"/>
      <c r="H1320" s="18">
        <v>945000</v>
      </c>
      <c r="I1320" s="18"/>
      <c r="J1320" s="18"/>
      <c r="K1320" s="18"/>
      <c r="L1320" s="18"/>
      <c r="M1320" s="18"/>
      <c r="N1320" s="18">
        <v>945000</v>
      </c>
    </row>
    <row r="1321" spans="1:14">
      <c r="A1321" s="754" t="s">
        <v>905</v>
      </c>
      <c r="B1321" s="18"/>
      <c r="C1321" s="18"/>
      <c r="D1321" s="18"/>
      <c r="E1321" s="18"/>
      <c r="F1321" s="18"/>
      <c r="G1321" s="18"/>
      <c r="H1321" s="18">
        <v>25000</v>
      </c>
      <c r="I1321" s="18"/>
      <c r="J1321" s="18"/>
      <c r="K1321" s="18"/>
      <c r="L1321" s="18"/>
      <c r="M1321" s="18"/>
      <c r="N1321" s="18">
        <v>25000</v>
      </c>
    </row>
    <row r="1322" spans="1:14">
      <c r="A1322" s="754" t="s">
        <v>174</v>
      </c>
      <c r="B1322" s="18"/>
      <c r="C1322" s="18"/>
      <c r="D1322" s="18"/>
      <c r="E1322" s="18"/>
      <c r="F1322" s="18"/>
      <c r="G1322" s="18"/>
      <c r="H1322" s="18"/>
      <c r="I1322" s="18"/>
      <c r="J1322" s="18"/>
      <c r="K1322" s="18"/>
      <c r="L1322" s="18"/>
      <c r="M1322" s="18"/>
      <c r="N1322" s="18"/>
    </row>
    <row r="1323" spans="1:14">
      <c r="A1323" s="489" t="s">
        <v>1889</v>
      </c>
      <c r="B1323" s="18"/>
      <c r="C1323" s="18"/>
      <c r="D1323" s="18"/>
      <c r="E1323" s="18"/>
      <c r="F1323" s="18"/>
      <c r="G1323" s="18"/>
      <c r="H1323" s="18">
        <v>1629529</v>
      </c>
      <c r="I1323" s="18"/>
      <c r="J1323" s="18"/>
      <c r="K1323" s="18"/>
      <c r="L1323" s="18"/>
      <c r="M1323" s="18"/>
      <c r="N1323" s="18">
        <v>1629529</v>
      </c>
    </row>
    <row r="1324" spans="1:14">
      <c r="A1324" s="489" t="s">
        <v>1679</v>
      </c>
      <c r="B1324" s="18"/>
      <c r="C1324" s="18"/>
      <c r="D1324" s="18"/>
      <c r="E1324" s="18"/>
      <c r="F1324" s="18"/>
      <c r="G1324" s="18"/>
      <c r="H1324" s="18">
        <v>2760459</v>
      </c>
      <c r="I1324" s="18"/>
      <c r="J1324" s="18"/>
      <c r="K1324" s="18"/>
      <c r="L1324" s="18"/>
      <c r="M1324" s="18"/>
      <c r="N1324" s="18">
        <v>2760459</v>
      </c>
    </row>
    <row r="1325" spans="1:14">
      <c r="A1325" s="489" t="s">
        <v>1469</v>
      </c>
      <c r="B1325" s="18"/>
      <c r="C1325" s="18"/>
      <c r="D1325" s="18"/>
      <c r="E1325" s="18"/>
      <c r="F1325" s="18"/>
      <c r="G1325" s="18"/>
      <c r="H1325" s="18">
        <v>945000</v>
      </c>
      <c r="I1325" s="18"/>
      <c r="J1325" s="18"/>
      <c r="K1325" s="18"/>
      <c r="L1325" s="18"/>
      <c r="M1325" s="18"/>
      <c r="N1325" s="18">
        <v>945000</v>
      </c>
    </row>
    <row r="1326" spans="1:14">
      <c r="A1326" s="489" t="s">
        <v>1259</v>
      </c>
      <c r="B1326" s="18"/>
      <c r="C1326" s="18"/>
      <c r="D1326" s="18"/>
      <c r="E1326" s="18"/>
      <c r="F1326" s="18"/>
      <c r="G1326" s="18"/>
      <c r="H1326" s="18">
        <v>25000</v>
      </c>
      <c r="I1326" s="18"/>
      <c r="J1326" s="18"/>
      <c r="K1326" s="18"/>
      <c r="L1326" s="18"/>
      <c r="M1326" s="18"/>
      <c r="N1326" s="18">
        <v>25000</v>
      </c>
    </row>
    <row r="1327" spans="1:14">
      <c r="A1327" s="489" t="s">
        <v>1049</v>
      </c>
      <c r="B1327" s="18"/>
      <c r="C1327" s="18"/>
      <c r="D1327" s="18"/>
      <c r="E1327" s="18"/>
      <c r="F1327" s="18"/>
      <c r="G1327" s="18"/>
      <c r="H1327" s="18"/>
      <c r="I1327" s="18"/>
      <c r="J1327" s="18"/>
      <c r="K1327" s="18"/>
      <c r="L1327" s="18"/>
      <c r="M1327" s="18"/>
      <c r="N1327" s="18"/>
    </row>
    <row r="1328" spans="1:14">
      <c r="A1328" s="347" t="s">
        <v>1890</v>
      </c>
      <c r="B1328" s="18"/>
      <c r="C1328" s="18"/>
      <c r="D1328" s="18"/>
      <c r="E1328" s="18"/>
      <c r="F1328" s="18"/>
      <c r="G1328" s="18"/>
      <c r="H1328" s="18">
        <v>1629529</v>
      </c>
      <c r="I1328" s="18"/>
      <c r="J1328" s="18"/>
      <c r="K1328" s="18"/>
      <c r="L1328" s="18"/>
      <c r="M1328" s="18"/>
      <c r="N1328" s="18">
        <v>1629529</v>
      </c>
    </row>
    <row r="1329" spans="1:14">
      <c r="A1329" s="347" t="s">
        <v>1680</v>
      </c>
      <c r="B1329" s="18"/>
      <c r="C1329" s="18"/>
      <c r="D1329" s="18"/>
      <c r="E1329" s="18"/>
      <c r="F1329" s="18"/>
      <c r="G1329" s="18"/>
      <c r="H1329" s="18">
        <v>2760459</v>
      </c>
      <c r="I1329" s="18"/>
      <c r="J1329" s="18"/>
      <c r="K1329" s="18"/>
      <c r="L1329" s="18"/>
      <c r="M1329" s="18"/>
      <c r="N1329" s="18">
        <v>2760459</v>
      </c>
    </row>
    <row r="1330" spans="1:14">
      <c r="A1330" s="347" t="s">
        <v>1470</v>
      </c>
      <c r="B1330" s="18"/>
      <c r="C1330" s="18"/>
      <c r="D1330" s="18"/>
      <c r="E1330" s="18"/>
      <c r="F1330" s="18"/>
      <c r="G1330" s="18"/>
      <c r="H1330" s="18">
        <v>945000</v>
      </c>
      <c r="I1330" s="18"/>
      <c r="J1330" s="18"/>
      <c r="K1330" s="18"/>
      <c r="L1330" s="18"/>
      <c r="M1330" s="18"/>
      <c r="N1330" s="18">
        <v>945000</v>
      </c>
    </row>
    <row r="1331" spans="1:14">
      <c r="A1331" s="347" t="s">
        <v>1260</v>
      </c>
      <c r="B1331" s="18"/>
      <c r="C1331" s="18"/>
      <c r="D1331" s="18"/>
      <c r="E1331" s="18"/>
      <c r="F1331" s="18"/>
      <c r="G1331" s="18"/>
      <c r="H1331" s="18">
        <v>25000</v>
      </c>
      <c r="I1331" s="18"/>
      <c r="J1331" s="18"/>
      <c r="K1331" s="18"/>
      <c r="L1331" s="18"/>
      <c r="M1331" s="18"/>
      <c r="N1331" s="18">
        <v>25000</v>
      </c>
    </row>
    <row r="1332" spans="1:14">
      <c r="A1332" s="347" t="s">
        <v>1050</v>
      </c>
      <c r="B1332" s="18"/>
      <c r="C1332" s="18"/>
      <c r="D1332" s="18"/>
      <c r="E1332" s="18"/>
      <c r="F1332" s="18"/>
      <c r="G1332" s="18"/>
      <c r="H1332" s="18"/>
      <c r="I1332" s="18"/>
      <c r="J1332" s="18"/>
      <c r="K1332" s="18"/>
      <c r="L1332" s="18"/>
      <c r="M1332" s="18"/>
      <c r="N1332" s="18"/>
    </row>
    <row r="1333" spans="1:14">
      <c r="A1333" s="19" t="s">
        <v>1891</v>
      </c>
      <c r="B1333" s="18"/>
      <c r="C1333" s="18"/>
      <c r="D1333" s="18"/>
      <c r="E1333" s="18"/>
      <c r="F1333" s="18"/>
      <c r="G1333" s="18"/>
      <c r="H1333" s="18">
        <v>1629529</v>
      </c>
      <c r="I1333" s="18"/>
      <c r="J1333" s="18"/>
      <c r="K1333" s="18"/>
      <c r="L1333" s="18"/>
      <c r="M1333" s="18"/>
      <c r="N1333" s="18">
        <v>1629529</v>
      </c>
    </row>
    <row r="1334" spans="1:14">
      <c r="A1334" s="19" t="s">
        <v>1681</v>
      </c>
      <c r="B1334" s="18"/>
      <c r="C1334" s="18"/>
      <c r="D1334" s="18"/>
      <c r="E1334" s="18"/>
      <c r="F1334" s="18"/>
      <c r="G1334" s="18"/>
      <c r="H1334" s="18">
        <v>2760459</v>
      </c>
      <c r="I1334" s="18"/>
      <c r="J1334" s="18"/>
      <c r="K1334" s="18"/>
      <c r="L1334" s="18"/>
      <c r="M1334" s="18"/>
      <c r="N1334" s="18">
        <v>2760459</v>
      </c>
    </row>
    <row r="1335" spans="1:14">
      <c r="A1335" s="19" t="s">
        <v>1471</v>
      </c>
      <c r="B1335" s="18"/>
      <c r="C1335" s="18"/>
      <c r="D1335" s="18"/>
      <c r="E1335" s="18"/>
      <c r="F1335" s="18"/>
      <c r="G1335" s="18"/>
      <c r="H1335" s="18">
        <v>945000</v>
      </c>
      <c r="I1335" s="18"/>
      <c r="J1335" s="18"/>
      <c r="K1335" s="18"/>
      <c r="L1335" s="18"/>
      <c r="M1335" s="18"/>
      <c r="N1335" s="18">
        <v>945000</v>
      </c>
    </row>
    <row r="1336" spans="1:14">
      <c r="A1336" s="19" t="s">
        <v>1261</v>
      </c>
      <c r="B1336" s="18"/>
      <c r="C1336" s="18"/>
      <c r="D1336" s="18"/>
      <c r="E1336" s="18"/>
      <c r="F1336" s="18"/>
      <c r="G1336" s="18"/>
      <c r="H1336" s="18">
        <v>25000</v>
      </c>
      <c r="I1336" s="18"/>
      <c r="J1336" s="18"/>
      <c r="K1336" s="18"/>
      <c r="L1336" s="18"/>
      <c r="M1336" s="18"/>
      <c r="N1336" s="18">
        <v>25000</v>
      </c>
    </row>
    <row r="1337" spans="1:14">
      <c r="A1337" s="19" t="s">
        <v>1051</v>
      </c>
      <c r="B1337" s="18"/>
      <c r="C1337" s="18"/>
      <c r="D1337" s="18"/>
      <c r="E1337" s="18"/>
      <c r="F1337" s="18"/>
      <c r="G1337" s="18"/>
      <c r="H1337" s="18"/>
      <c r="I1337" s="18"/>
      <c r="J1337" s="18"/>
      <c r="K1337" s="18"/>
      <c r="L1337" s="18"/>
      <c r="M1337" s="18"/>
      <c r="N1337" s="18"/>
    </row>
    <row r="1338" spans="1:14">
      <c r="A1338" s="4" t="s">
        <v>1892</v>
      </c>
      <c r="B1338" s="18"/>
      <c r="C1338" s="18"/>
      <c r="D1338" s="18"/>
      <c r="E1338" s="18"/>
      <c r="F1338" s="18"/>
      <c r="G1338" s="18"/>
      <c r="H1338" s="18">
        <v>1629529</v>
      </c>
      <c r="I1338" s="18"/>
      <c r="J1338" s="18"/>
      <c r="K1338" s="18"/>
      <c r="L1338" s="18"/>
      <c r="M1338" s="18"/>
      <c r="N1338" s="18">
        <v>1629529</v>
      </c>
    </row>
    <row r="1339" spans="1:14">
      <c r="A1339" s="4" t="s">
        <v>1682</v>
      </c>
      <c r="B1339" s="18"/>
      <c r="C1339" s="18"/>
      <c r="D1339" s="18"/>
      <c r="E1339" s="18"/>
      <c r="F1339" s="18"/>
      <c r="G1339" s="18"/>
      <c r="H1339" s="18">
        <v>2760459</v>
      </c>
      <c r="I1339" s="18"/>
      <c r="J1339" s="18"/>
      <c r="K1339" s="18"/>
      <c r="L1339" s="18"/>
      <c r="M1339" s="18"/>
      <c r="N1339" s="18">
        <v>2760459</v>
      </c>
    </row>
    <row r="1340" spans="1:14">
      <c r="A1340" s="4" t="s">
        <v>1472</v>
      </c>
      <c r="B1340" s="18"/>
      <c r="C1340" s="18"/>
      <c r="D1340" s="18"/>
      <c r="E1340" s="18"/>
      <c r="F1340" s="18"/>
      <c r="G1340" s="18"/>
      <c r="H1340" s="18">
        <v>945000</v>
      </c>
      <c r="I1340" s="18"/>
      <c r="J1340" s="18"/>
      <c r="K1340" s="18"/>
      <c r="L1340" s="18"/>
      <c r="M1340" s="18"/>
      <c r="N1340" s="18">
        <v>945000</v>
      </c>
    </row>
    <row r="1341" spans="1:14">
      <c r="A1341" s="4" t="s">
        <v>1262</v>
      </c>
      <c r="B1341" s="18"/>
      <c r="C1341" s="18"/>
      <c r="D1341" s="18"/>
      <c r="E1341" s="18"/>
      <c r="F1341" s="18"/>
      <c r="G1341" s="18"/>
      <c r="H1341" s="18">
        <v>25000</v>
      </c>
      <c r="I1341" s="18"/>
      <c r="J1341" s="18"/>
      <c r="K1341" s="18"/>
      <c r="L1341" s="18"/>
      <c r="M1341" s="18"/>
      <c r="N1341" s="18">
        <v>25000</v>
      </c>
    </row>
    <row r="1342" spans="1:14">
      <c r="A1342" s="4" t="s">
        <v>1052</v>
      </c>
      <c r="B1342" s="18"/>
      <c r="C1342" s="18"/>
      <c r="D1342" s="18"/>
      <c r="E1342" s="18"/>
      <c r="F1342" s="18"/>
      <c r="G1342" s="18"/>
      <c r="H1342" s="18"/>
      <c r="I1342" s="18"/>
      <c r="J1342" s="18"/>
      <c r="K1342" s="18"/>
      <c r="L1342" s="18"/>
      <c r="M1342" s="18"/>
      <c r="N1342" s="18"/>
    </row>
    <row r="1343" spans="1:14">
      <c r="A1343" s="4">
        <v>1638956.14</v>
      </c>
      <c r="B1343" s="18"/>
      <c r="C1343" s="18"/>
      <c r="D1343" s="18"/>
      <c r="E1343" s="18"/>
      <c r="F1343" s="18"/>
      <c r="G1343" s="18"/>
      <c r="H1343" s="18"/>
      <c r="I1343" s="18"/>
      <c r="J1343" s="18"/>
      <c r="K1343" s="18"/>
      <c r="L1343" s="18"/>
      <c r="M1343" s="18"/>
      <c r="N1343" s="18"/>
    </row>
    <row r="1344" spans="1:14">
      <c r="A1344" s="19">
        <v>280000</v>
      </c>
      <c r="B1344" s="18"/>
      <c r="C1344" s="18"/>
      <c r="D1344" s="18"/>
      <c r="E1344" s="18"/>
      <c r="F1344" s="18"/>
      <c r="G1344" s="18"/>
      <c r="H1344" s="18"/>
      <c r="I1344" s="18"/>
      <c r="J1344" s="18"/>
      <c r="K1344" s="18"/>
      <c r="L1344" s="18"/>
      <c r="M1344" s="18"/>
      <c r="N1344" s="18"/>
    </row>
    <row r="1345" spans="1:14">
      <c r="A1345" s="347">
        <v>3296474.06</v>
      </c>
      <c r="B1345" s="18"/>
      <c r="C1345" s="18"/>
      <c r="D1345" s="18"/>
      <c r="E1345" s="18"/>
      <c r="F1345" s="18"/>
      <c r="G1345" s="18"/>
      <c r="H1345" s="18"/>
      <c r="I1345" s="18"/>
      <c r="J1345" s="18"/>
      <c r="K1345" s="18"/>
      <c r="L1345" s="18"/>
      <c r="M1345" s="18"/>
      <c r="N1345" s="18"/>
    </row>
    <row r="1346" spans="1:14">
      <c r="A1346" s="489">
        <v>12414</v>
      </c>
      <c r="B1346" s="18"/>
      <c r="C1346" s="18"/>
      <c r="D1346" s="18"/>
      <c r="E1346" s="18"/>
      <c r="F1346" s="18"/>
      <c r="G1346" s="18"/>
      <c r="H1346" s="18"/>
      <c r="I1346" s="18"/>
      <c r="J1346" s="18"/>
      <c r="K1346" s="18"/>
      <c r="L1346" s="18"/>
      <c r="M1346" s="18"/>
      <c r="N1346" s="18"/>
    </row>
    <row r="1347" spans="1:14">
      <c r="A1347" s="753">
        <v>0</v>
      </c>
      <c r="B1347" s="18"/>
      <c r="C1347" s="18"/>
      <c r="D1347" s="18"/>
      <c r="E1347" s="18"/>
      <c r="F1347" s="18"/>
      <c r="G1347" s="18"/>
      <c r="H1347" s="18"/>
      <c r="I1347" s="18"/>
      <c r="J1347" s="18"/>
      <c r="K1347" s="18"/>
      <c r="L1347" s="18"/>
      <c r="M1347" s="18"/>
      <c r="N1347" s="18"/>
    </row>
    <row r="1348" spans="1:14">
      <c r="A1348" s="754" t="s">
        <v>898</v>
      </c>
      <c r="B1348" s="18"/>
      <c r="C1348" s="18"/>
      <c r="D1348" s="18"/>
      <c r="E1348" s="18"/>
      <c r="F1348" s="18"/>
      <c r="G1348" s="18"/>
      <c r="H1348" s="18">
        <v>1638956.14</v>
      </c>
      <c r="I1348" s="18"/>
      <c r="J1348" s="18"/>
      <c r="K1348" s="18"/>
      <c r="L1348" s="18"/>
      <c r="M1348" s="18"/>
      <c r="N1348" s="18">
        <v>1638956.14</v>
      </c>
    </row>
    <row r="1349" spans="1:14">
      <c r="A1349" s="754" t="s">
        <v>901</v>
      </c>
      <c r="B1349" s="18"/>
      <c r="C1349" s="18"/>
      <c r="D1349" s="18"/>
      <c r="E1349" s="18"/>
      <c r="F1349" s="18"/>
      <c r="G1349" s="18"/>
      <c r="H1349" s="18">
        <v>3296474.06</v>
      </c>
      <c r="I1349" s="18"/>
      <c r="J1349" s="18"/>
      <c r="K1349" s="18"/>
      <c r="L1349" s="18"/>
      <c r="M1349" s="18"/>
      <c r="N1349" s="18">
        <v>3296474.06</v>
      </c>
    </row>
    <row r="1350" spans="1:14">
      <c r="A1350" s="754" t="s">
        <v>903</v>
      </c>
      <c r="B1350" s="18"/>
      <c r="C1350" s="18"/>
      <c r="D1350" s="18"/>
      <c r="E1350" s="18"/>
      <c r="F1350" s="18"/>
      <c r="G1350" s="18"/>
      <c r="H1350" s="18">
        <v>280000</v>
      </c>
      <c r="I1350" s="18"/>
      <c r="J1350" s="18"/>
      <c r="K1350" s="18"/>
      <c r="L1350" s="18"/>
      <c r="M1350" s="18"/>
      <c r="N1350" s="18">
        <v>280000</v>
      </c>
    </row>
    <row r="1351" spans="1:14">
      <c r="A1351" s="754" t="s">
        <v>905</v>
      </c>
      <c r="B1351" s="18"/>
      <c r="C1351" s="18"/>
      <c r="D1351" s="18"/>
      <c r="E1351" s="18"/>
      <c r="F1351" s="18"/>
      <c r="G1351" s="18"/>
      <c r="H1351" s="18">
        <v>12414</v>
      </c>
      <c r="I1351" s="18"/>
      <c r="J1351" s="18"/>
      <c r="K1351" s="18"/>
      <c r="L1351" s="18"/>
      <c r="M1351" s="18"/>
      <c r="N1351" s="18">
        <v>12414</v>
      </c>
    </row>
    <row r="1352" spans="1:14">
      <c r="A1352" s="754" t="s">
        <v>174</v>
      </c>
      <c r="B1352" s="18"/>
      <c r="C1352" s="18"/>
      <c r="D1352" s="18"/>
      <c r="E1352" s="18"/>
      <c r="F1352" s="18"/>
      <c r="G1352" s="18"/>
      <c r="H1352" s="18">
        <v>0</v>
      </c>
      <c r="I1352" s="18"/>
      <c r="J1352" s="18"/>
      <c r="K1352" s="18"/>
      <c r="L1352" s="18"/>
      <c r="M1352" s="18"/>
      <c r="N1352" s="18">
        <v>0</v>
      </c>
    </row>
    <row r="1353" spans="1:14">
      <c r="A1353" s="489" t="s">
        <v>1893</v>
      </c>
      <c r="B1353" s="18"/>
      <c r="C1353" s="18"/>
      <c r="D1353" s="18"/>
      <c r="E1353" s="18"/>
      <c r="F1353" s="18"/>
      <c r="G1353" s="18"/>
      <c r="H1353" s="18">
        <v>1638956.14</v>
      </c>
      <c r="I1353" s="18"/>
      <c r="J1353" s="18"/>
      <c r="K1353" s="18"/>
      <c r="L1353" s="18"/>
      <c r="M1353" s="18"/>
      <c r="N1353" s="18">
        <v>1638956.14</v>
      </c>
    </row>
    <row r="1354" spans="1:14">
      <c r="A1354" s="489" t="s">
        <v>1683</v>
      </c>
      <c r="B1354" s="18"/>
      <c r="C1354" s="18"/>
      <c r="D1354" s="18"/>
      <c r="E1354" s="18"/>
      <c r="F1354" s="18"/>
      <c r="G1354" s="18"/>
      <c r="H1354" s="18">
        <v>3296474.06</v>
      </c>
      <c r="I1354" s="18"/>
      <c r="J1354" s="18"/>
      <c r="K1354" s="18"/>
      <c r="L1354" s="18"/>
      <c r="M1354" s="18"/>
      <c r="N1354" s="18">
        <v>3296474.06</v>
      </c>
    </row>
    <row r="1355" spans="1:14">
      <c r="A1355" s="489" t="s">
        <v>1473</v>
      </c>
      <c r="B1355" s="18"/>
      <c r="C1355" s="18"/>
      <c r="D1355" s="18"/>
      <c r="E1355" s="18"/>
      <c r="F1355" s="18"/>
      <c r="G1355" s="18"/>
      <c r="H1355" s="18">
        <v>280000</v>
      </c>
      <c r="I1355" s="18"/>
      <c r="J1355" s="18"/>
      <c r="K1355" s="18"/>
      <c r="L1355" s="18"/>
      <c r="M1355" s="18"/>
      <c r="N1355" s="18">
        <v>280000</v>
      </c>
    </row>
    <row r="1356" spans="1:14">
      <c r="A1356" s="489" t="s">
        <v>1263</v>
      </c>
      <c r="B1356" s="18"/>
      <c r="C1356" s="18"/>
      <c r="D1356" s="18"/>
      <c r="E1356" s="18"/>
      <c r="F1356" s="18"/>
      <c r="G1356" s="18"/>
      <c r="H1356" s="18">
        <v>12414</v>
      </c>
      <c r="I1356" s="18"/>
      <c r="J1356" s="18"/>
      <c r="K1356" s="18"/>
      <c r="L1356" s="18"/>
      <c r="M1356" s="18"/>
      <c r="N1356" s="18">
        <v>12414</v>
      </c>
    </row>
    <row r="1357" spans="1:14">
      <c r="A1357" s="489" t="s">
        <v>1053</v>
      </c>
      <c r="B1357" s="18"/>
      <c r="C1357" s="18"/>
      <c r="D1357" s="18"/>
      <c r="E1357" s="18"/>
      <c r="F1357" s="18"/>
      <c r="G1357" s="18"/>
      <c r="H1357" s="18">
        <v>0</v>
      </c>
      <c r="I1357" s="18"/>
      <c r="J1357" s="18"/>
      <c r="K1357" s="18"/>
      <c r="L1357" s="18"/>
      <c r="M1357" s="18"/>
      <c r="N1357" s="18">
        <v>0</v>
      </c>
    </row>
    <row r="1358" spans="1:14">
      <c r="A1358" s="347" t="s">
        <v>1894</v>
      </c>
      <c r="B1358" s="18"/>
      <c r="C1358" s="18"/>
      <c r="D1358" s="18"/>
      <c r="E1358" s="18"/>
      <c r="F1358" s="18"/>
      <c r="G1358" s="18"/>
      <c r="H1358" s="18">
        <v>1638956.14</v>
      </c>
      <c r="I1358" s="18"/>
      <c r="J1358" s="18"/>
      <c r="K1358" s="18"/>
      <c r="L1358" s="18"/>
      <c r="M1358" s="18"/>
      <c r="N1358" s="18">
        <v>1638956.14</v>
      </c>
    </row>
    <row r="1359" spans="1:14">
      <c r="A1359" s="347" t="s">
        <v>1684</v>
      </c>
      <c r="B1359" s="18"/>
      <c r="C1359" s="18"/>
      <c r="D1359" s="18"/>
      <c r="E1359" s="18"/>
      <c r="F1359" s="18"/>
      <c r="G1359" s="18"/>
      <c r="H1359" s="18">
        <v>3296474.06</v>
      </c>
      <c r="I1359" s="18"/>
      <c r="J1359" s="18"/>
      <c r="K1359" s="18"/>
      <c r="L1359" s="18"/>
      <c r="M1359" s="18"/>
      <c r="N1359" s="18">
        <v>3296474.06</v>
      </c>
    </row>
    <row r="1360" spans="1:14">
      <c r="A1360" s="347" t="s">
        <v>1474</v>
      </c>
      <c r="B1360" s="18"/>
      <c r="C1360" s="18"/>
      <c r="D1360" s="18"/>
      <c r="E1360" s="18"/>
      <c r="F1360" s="18"/>
      <c r="G1360" s="18"/>
      <c r="H1360" s="18">
        <v>280000</v>
      </c>
      <c r="I1360" s="18"/>
      <c r="J1360" s="18"/>
      <c r="K1360" s="18"/>
      <c r="L1360" s="18"/>
      <c r="M1360" s="18"/>
      <c r="N1360" s="18">
        <v>280000</v>
      </c>
    </row>
    <row r="1361" spans="1:14">
      <c r="A1361" s="347" t="s">
        <v>1264</v>
      </c>
      <c r="B1361" s="18"/>
      <c r="C1361" s="18"/>
      <c r="D1361" s="18"/>
      <c r="E1361" s="18"/>
      <c r="F1361" s="18"/>
      <c r="G1361" s="18"/>
      <c r="H1361" s="18">
        <v>12414</v>
      </c>
      <c r="I1361" s="18"/>
      <c r="J1361" s="18"/>
      <c r="K1361" s="18"/>
      <c r="L1361" s="18"/>
      <c r="M1361" s="18"/>
      <c r="N1361" s="18">
        <v>12414</v>
      </c>
    </row>
    <row r="1362" spans="1:14">
      <c r="A1362" s="347" t="s">
        <v>1054</v>
      </c>
      <c r="B1362" s="18"/>
      <c r="C1362" s="18"/>
      <c r="D1362" s="18"/>
      <c r="E1362" s="18"/>
      <c r="F1362" s="18"/>
      <c r="G1362" s="18"/>
      <c r="H1362" s="18">
        <v>0</v>
      </c>
      <c r="I1362" s="18"/>
      <c r="J1362" s="18"/>
      <c r="K1362" s="18"/>
      <c r="L1362" s="18"/>
      <c r="M1362" s="18"/>
      <c r="N1362" s="18">
        <v>0</v>
      </c>
    </row>
    <row r="1363" spans="1:14">
      <c r="A1363" s="19" t="s">
        <v>1895</v>
      </c>
      <c r="B1363" s="18"/>
      <c r="C1363" s="18"/>
      <c r="D1363" s="18"/>
      <c r="E1363" s="18"/>
      <c r="F1363" s="18"/>
      <c r="G1363" s="18"/>
      <c r="H1363" s="18">
        <v>1638956.14</v>
      </c>
      <c r="I1363" s="18"/>
      <c r="J1363" s="18"/>
      <c r="K1363" s="18"/>
      <c r="L1363" s="18"/>
      <c r="M1363" s="18"/>
      <c r="N1363" s="18">
        <v>1638956.14</v>
      </c>
    </row>
    <row r="1364" spans="1:14">
      <c r="A1364" s="19" t="s">
        <v>1685</v>
      </c>
      <c r="B1364" s="18"/>
      <c r="C1364" s="18"/>
      <c r="D1364" s="18"/>
      <c r="E1364" s="18"/>
      <c r="F1364" s="18"/>
      <c r="G1364" s="18"/>
      <c r="H1364" s="18">
        <v>3296474.06</v>
      </c>
      <c r="I1364" s="18"/>
      <c r="J1364" s="18"/>
      <c r="K1364" s="18"/>
      <c r="L1364" s="18"/>
      <c r="M1364" s="18"/>
      <c r="N1364" s="18">
        <v>3296474.06</v>
      </c>
    </row>
    <row r="1365" spans="1:14">
      <c r="A1365" s="19" t="s">
        <v>1475</v>
      </c>
      <c r="B1365" s="18"/>
      <c r="C1365" s="18"/>
      <c r="D1365" s="18"/>
      <c r="E1365" s="18"/>
      <c r="F1365" s="18"/>
      <c r="G1365" s="18"/>
      <c r="H1365" s="18">
        <v>280000</v>
      </c>
      <c r="I1365" s="18"/>
      <c r="J1365" s="18"/>
      <c r="K1365" s="18"/>
      <c r="L1365" s="18"/>
      <c r="M1365" s="18"/>
      <c r="N1365" s="18">
        <v>280000</v>
      </c>
    </row>
    <row r="1366" spans="1:14">
      <c r="A1366" s="19" t="s">
        <v>1265</v>
      </c>
      <c r="B1366" s="18"/>
      <c r="C1366" s="18"/>
      <c r="D1366" s="18"/>
      <c r="E1366" s="18"/>
      <c r="F1366" s="18"/>
      <c r="G1366" s="18"/>
      <c r="H1366" s="18">
        <v>12414</v>
      </c>
      <c r="I1366" s="18"/>
      <c r="J1366" s="18"/>
      <c r="K1366" s="18"/>
      <c r="L1366" s="18"/>
      <c r="M1366" s="18"/>
      <c r="N1366" s="18">
        <v>12414</v>
      </c>
    </row>
    <row r="1367" spans="1:14">
      <c r="A1367" s="19" t="s">
        <v>1055</v>
      </c>
      <c r="B1367" s="18"/>
      <c r="C1367" s="18"/>
      <c r="D1367" s="18"/>
      <c r="E1367" s="18"/>
      <c r="F1367" s="18"/>
      <c r="G1367" s="18"/>
      <c r="H1367" s="18">
        <v>0</v>
      </c>
      <c r="I1367" s="18"/>
      <c r="J1367" s="18"/>
      <c r="K1367" s="18"/>
      <c r="L1367" s="18"/>
      <c r="M1367" s="18"/>
      <c r="N1367" s="18">
        <v>0</v>
      </c>
    </row>
    <row r="1368" spans="1:14">
      <c r="A1368" s="4" t="s">
        <v>1896</v>
      </c>
      <c r="B1368" s="18"/>
      <c r="C1368" s="18"/>
      <c r="D1368" s="18"/>
      <c r="E1368" s="18"/>
      <c r="F1368" s="18"/>
      <c r="G1368" s="18"/>
      <c r="H1368" s="18">
        <v>1638956.14</v>
      </c>
      <c r="I1368" s="18"/>
      <c r="J1368" s="18"/>
      <c r="K1368" s="18"/>
      <c r="L1368" s="18"/>
      <c r="M1368" s="18"/>
      <c r="N1368" s="18">
        <v>1638956.14</v>
      </c>
    </row>
    <row r="1369" spans="1:14">
      <c r="A1369" s="4" t="s">
        <v>1686</v>
      </c>
      <c r="B1369" s="18"/>
      <c r="C1369" s="18"/>
      <c r="D1369" s="18"/>
      <c r="E1369" s="18"/>
      <c r="F1369" s="18"/>
      <c r="G1369" s="18"/>
      <c r="H1369" s="18">
        <v>3296474.06</v>
      </c>
      <c r="I1369" s="18"/>
      <c r="J1369" s="18"/>
      <c r="K1369" s="18"/>
      <c r="L1369" s="18"/>
      <c r="M1369" s="18"/>
      <c r="N1369" s="18">
        <v>3296474.06</v>
      </c>
    </row>
    <row r="1370" spans="1:14">
      <c r="A1370" s="4" t="s">
        <v>1476</v>
      </c>
      <c r="B1370" s="18"/>
      <c r="C1370" s="18"/>
      <c r="D1370" s="18"/>
      <c r="E1370" s="18"/>
      <c r="F1370" s="18"/>
      <c r="G1370" s="18"/>
      <c r="H1370" s="18">
        <v>280000</v>
      </c>
      <c r="I1370" s="18"/>
      <c r="J1370" s="18"/>
      <c r="K1370" s="18"/>
      <c r="L1370" s="18"/>
      <c r="M1370" s="18"/>
      <c r="N1370" s="18">
        <v>280000</v>
      </c>
    </row>
    <row r="1371" spans="1:14">
      <c r="A1371" s="4" t="s">
        <v>1266</v>
      </c>
      <c r="B1371" s="18"/>
      <c r="C1371" s="18"/>
      <c r="D1371" s="18"/>
      <c r="E1371" s="18"/>
      <c r="F1371" s="18"/>
      <c r="G1371" s="18"/>
      <c r="H1371" s="18">
        <v>12414</v>
      </c>
      <c r="I1371" s="18"/>
      <c r="J1371" s="18"/>
      <c r="K1371" s="18"/>
      <c r="L1371" s="18"/>
      <c r="M1371" s="18"/>
      <c r="N1371" s="18">
        <v>12414</v>
      </c>
    </row>
    <row r="1372" spans="1:14">
      <c r="A1372" s="4" t="s">
        <v>1056</v>
      </c>
      <c r="B1372" s="18"/>
      <c r="C1372" s="18"/>
      <c r="D1372" s="18"/>
      <c r="E1372" s="18"/>
      <c r="F1372" s="18"/>
      <c r="G1372" s="18"/>
      <c r="H1372" s="18">
        <v>0</v>
      </c>
      <c r="I1372" s="18"/>
      <c r="J1372" s="18"/>
      <c r="K1372" s="18"/>
      <c r="L1372" s="18"/>
      <c r="M1372" s="18"/>
      <c r="N1372" s="18">
        <v>0</v>
      </c>
    </row>
    <row r="1373" spans="1:14">
      <c r="A1373" s="4">
        <v>1736993</v>
      </c>
      <c r="B1373" s="18"/>
      <c r="C1373" s="18"/>
      <c r="D1373" s="18"/>
      <c r="E1373" s="18"/>
      <c r="F1373" s="18"/>
      <c r="G1373" s="18"/>
      <c r="H1373" s="18"/>
      <c r="I1373" s="18"/>
      <c r="J1373" s="18"/>
      <c r="K1373" s="18"/>
      <c r="L1373" s="18"/>
      <c r="M1373" s="18"/>
      <c r="N1373" s="18"/>
    </row>
    <row r="1374" spans="1:14">
      <c r="A1374" s="19" t="s">
        <v>733</v>
      </c>
      <c r="B1374" s="18"/>
      <c r="C1374" s="18"/>
      <c r="D1374" s="18"/>
      <c r="E1374" s="18"/>
      <c r="F1374" s="18"/>
      <c r="G1374" s="18"/>
      <c r="H1374" s="18"/>
      <c r="I1374" s="18"/>
      <c r="J1374" s="18"/>
      <c r="K1374" s="18"/>
      <c r="L1374" s="18"/>
      <c r="M1374" s="18"/>
      <c r="N1374" s="18"/>
    </row>
    <row r="1375" spans="1:14">
      <c r="A1375" s="347">
        <v>3189669</v>
      </c>
      <c r="B1375" s="18"/>
      <c r="C1375" s="18"/>
      <c r="D1375" s="18"/>
      <c r="E1375" s="18"/>
      <c r="F1375" s="18"/>
      <c r="G1375" s="18"/>
      <c r="H1375" s="18"/>
      <c r="I1375" s="18"/>
      <c r="J1375" s="18"/>
      <c r="K1375" s="18"/>
      <c r="L1375" s="18"/>
      <c r="M1375" s="18"/>
      <c r="N1375" s="18"/>
    </row>
    <row r="1376" spans="1:14">
      <c r="A1376" s="489">
        <v>1310249</v>
      </c>
      <c r="B1376" s="18"/>
      <c r="C1376" s="18"/>
      <c r="D1376" s="18"/>
      <c r="E1376" s="18"/>
      <c r="F1376" s="18"/>
      <c r="G1376" s="18"/>
      <c r="H1376" s="18"/>
      <c r="I1376" s="18"/>
      <c r="J1376" s="18"/>
      <c r="K1376" s="18"/>
      <c r="L1376" s="18"/>
      <c r="M1376" s="18"/>
      <c r="N1376" s="18"/>
    </row>
    <row r="1377" spans="1:14">
      <c r="A1377" s="753" t="s">
        <v>733</v>
      </c>
      <c r="B1377" s="18"/>
      <c r="C1377" s="18"/>
      <c r="D1377" s="18"/>
      <c r="E1377" s="18"/>
      <c r="F1377" s="18"/>
      <c r="G1377" s="18"/>
      <c r="H1377" s="18"/>
      <c r="I1377" s="18"/>
      <c r="J1377" s="18"/>
      <c r="K1377" s="18"/>
      <c r="L1377" s="18"/>
      <c r="M1377" s="18"/>
      <c r="N1377" s="18"/>
    </row>
    <row r="1378" spans="1:14">
      <c r="A1378" s="754" t="s">
        <v>898</v>
      </c>
      <c r="B1378" s="18"/>
      <c r="C1378" s="18"/>
      <c r="D1378" s="18"/>
      <c r="E1378" s="18"/>
      <c r="F1378" s="18"/>
      <c r="G1378" s="18"/>
      <c r="H1378" s="18"/>
      <c r="I1378" s="18">
        <v>1736993</v>
      </c>
      <c r="J1378" s="18"/>
      <c r="K1378" s="18"/>
      <c r="L1378" s="18"/>
      <c r="M1378" s="18"/>
      <c r="N1378" s="18">
        <v>1736993</v>
      </c>
    </row>
    <row r="1379" spans="1:14">
      <c r="A1379" s="754" t="s">
        <v>901</v>
      </c>
      <c r="B1379" s="18"/>
      <c r="C1379" s="18"/>
      <c r="D1379" s="18"/>
      <c r="E1379" s="18"/>
      <c r="F1379" s="18"/>
      <c r="G1379" s="18"/>
      <c r="H1379" s="18"/>
      <c r="I1379" s="18">
        <v>3189669</v>
      </c>
      <c r="J1379" s="18"/>
      <c r="K1379" s="18"/>
      <c r="L1379" s="18"/>
      <c r="M1379" s="18"/>
      <c r="N1379" s="18">
        <v>3189669</v>
      </c>
    </row>
    <row r="1380" spans="1:14">
      <c r="A1380" s="754" t="s">
        <v>903</v>
      </c>
      <c r="B1380" s="18"/>
      <c r="C1380" s="18"/>
      <c r="D1380" s="18"/>
      <c r="E1380" s="18"/>
      <c r="F1380" s="18"/>
      <c r="G1380" s="18"/>
      <c r="H1380" s="18"/>
      <c r="I1380" s="18"/>
      <c r="J1380" s="18"/>
      <c r="K1380" s="18"/>
      <c r="L1380" s="18"/>
      <c r="M1380" s="18"/>
      <c r="N1380" s="18"/>
    </row>
    <row r="1381" spans="1:14">
      <c r="A1381" s="754" t="s">
        <v>905</v>
      </c>
      <c r="B1381" s="18"/>
      <c r="C1381" s="18"/>
      <c r="D1381" s="18"/>
      <c r="E1381" s="18"/>
      <c r="F1381" s="18"/>
      <c r="G1381" s="18"/>
      <c r="H1381" s="18"/>
      <c r="I1381" s="18">
        <v>1310249</v>
      </c>
      <c r="J1381" s="18"/>
      <c r="K1381" s="18"/>
      <c r="L1381" s="18"/>
      <c r="M1381" s="18"/>
      <c r="N1381" s="18">
        <v>1310249</v>
      </c>
    </row>
    <row r="1382" spans="1:14">
      <c r="A1382" s="754" t="s">
        <v>174</v>
      </c>
      <c r="B1382" s="18"/>
      <c r="C1382" s="18"/>
      <c r="D1382" s="18"/>
      <c r="E1382" s="18"/>
      <c r="F1382" s="18"/>
      <c r="G1382" s="18"/>
      <c r="H1382" s="18"/>
      <c r="I1382" s="18"/>
      <c r="J1382" s="18"/>
      <c r="K1382" s="18"/>
      <c r="L1382" s="18"/>
      <c r="M1382" s="18"/>
      <c r="N1382" s="18"/>
    </row>
    <row r="1383" spans="1:14">
      <c r="A1383" s="489" t="s">
        <v>1897</v>
      </c>
      <c r="B1383" s="18"/>
      <c r="C1383" s="18"/>
      <c r="D1383" s="18"/>
      <c r="E1383" s="18"/>
      <c r="F1383" s="18"/>
      <c r="G1383" s="18"/>
      <c r="H1383" s="18"/>
      <c r="I1383" s="18">
        <v>1736993</v>
      </c>
      <c r="J1383" s="18"/>
      <c r="K1383" s="18"/>
      <c r="L1383" s="18"/>
      <c r="M1383" s="18"/>
      <c r="N1383" s="18">
        <v>1736993</v>
      </c>
    </row>
    <row r="1384" spans="1:14">
      <c r="A1384" s="489" t="s">
        <v>1687</v>
      </c>
      <c r="B1384" s="18"/>
      <c r="C1384" s="18"/>
      <c r="D1384" s="18"/>
      <c r="E1384" s="18"/>
      <c r="F1384" s="18"/>
      <c r="G1384" s="18"/>
      <c r="H1384" s="18"/>
      <c r="I1384" s="18">
        <v>3189669</v>
      </c>
      <c r="J1384" s="18"/>
      <c r="K1384" s="18"/>
      <c r="L1384" s="18"/>
      <c r="M1384" s="18"/>
      <c r="N1384" s="18">
        <v>3189669</v>
      </c>
    </row>
    <row r="1385" spans="1:14">
      <c r="A1385" s="489" t="s">
        <v>1477</v>
      </c>
      <c r="B1385" s="18"/>
      <c r="C1385" s="18"/>
      <c r="D1385" s="18"/>
      <c r="E1385" s="18"/>
      <c r="F1385" s="18"/>
      <c r="G1385" s="18"/>
      <c r="H1385" s="18"/>
      <c r="I1385" s="18"/>
      <c r="J1385" s="18"/>
      <c r="K1385" s="18"/>
      <c r="L1385" s="18"/>
      <c r="M1385" s="18"/>
      <c r="N1385" s="18"/>
    </row>
    <row r="1386" spans="1:14">
      <c r="A1386" s="489" t="s">
        <v>1267</v>
      </c>
      <c r="B1386" s="18"/>
      <c r="C1386" s="18"/>
      <c r="D1386" s="18"/>
      <c r="E1386" s="18"/>
      <c r="F1386" s="18"/>
      <c r="G1386" s="18"/>
      <c r="H1386" s="18"/>
      <c r="I1386" s="18">
        <v>1310249</v>
      </c>
      <c r="J1386" s="18"/>
      <c r="K1386" s="18"/>
      <c r="L1386" s="18"/>
      <c r="M1386" s="18"/>
      <c r="N1386" s="18">
        <v>1310249</v>
      </c>
    </row>
    <row r="1387" spans="1:14">
      <c r="A1387" s="489" t="s">
        <v>1057</v>
      </c>
      <c r="B1387" s="18"/>
      <c r="C1387" s="18"/>
      <c r="D1387" s="18"/>
      <c r="E1387" s="18"/>
      <c r="F1387" s="18"/>
      <c r="G1387" s="18"/>
      <c r="H1387" s="18"/>
      <c r="I1387" s="18"/>
      <c r="J1387" s="18"/>
      <c r="K1387" s="18"/>
      <c r="L1387" s="18"/>
      <c r="M1387" s="18"/>
      <c r="N1387" s="18"/>
    </row>
    <row r="1388" spans="1:14">
      <c r="A1388" s="347" t="s">
        <v>1898</v>
      </c>
      <c r="B1388" s="18"/>
      <c r="C1388" s="18"/>
      <c r="D1388" s="18"/>
      <c r="E1388" s="18"/>
      <c r="F1388" s="18"/>
      <c r="G1388" s="18"/>
      <c r="H1388" s="18"/>
      <c r="I1388" s="18">
        <v>1736993</v>
      </c>
      <c r="J1388" s="18"/>
      <c r="K1388" s="18"/>
      <c r="L1388" s="18"/>
      <c r="M1388" s="18"/>
      <c r="N1388" s="18">
        <v>1736993</v>
      </c>
    </row>
    <row r="1389" spans="1:14">
      <c r="A1389" s="347" t="s">
        <v>1688</v>
      </c>
      <c r="B1389" s="18"/>
      <c r="C1389" s="18"/>
      <c r="D1389" s="18"/>
      <c r="E1389" s="18"/>
      <c r="F1389" s="18"/>
      <c r="G1389" s="18"/>
      <c r="H1389" s="18"/>
      <c r="I1389" s="18">
        <v>3189669</v>
      </c>
      <c r="J1389" s="18"/>
      <c r="K1389" s="18"/>
      <c r="L1389" s="18"/>
      <c r="M1389" s="18"/>
      <c r="N1389" s="18">
        <v>3189669</v>
      </c>
    </row>
    <row r="1390" spans="1:14">
      <c r="A1390" s="347" t="s">
        <v>1478</v>
      </c>
      <c r="B1390" s="18"/>
      <c r="C1390" s="18"/>
      <c r="D1390" s="18"/>
      <c r="E1390" s="18"/>
      <c r="F1390" s="18"/>
      <c r="G1390" s="18"/>
      <c r="H1390" s="18"/>
      <c r="I1390" s="18"/>
      <c r="J1390" s="18"/>
      <c r="K1390" s="18"/>
      <c r="L1390" s="18"/>
      <c r="M1390" s="18"/>
      <c r="N1390" s="18"/>
    </row>
    <row r="1391" spans="1:14">
      <c r="A1391" s="347" t="s">
        <v>1268</v>
      </c>
      <c r="B1391" s="18"/>
      <c r="C1391" s="18"/>
      <c r="D1391" s="18"/>
      <c r="E1391" s="18"/>
      <c r="F1391" s="18"/>
      <c r="G1391" s="18"/>
      <c r="H1391" s="18"/>
      <c r="I1391" s="18">
        <v>1310249</v>
      </c>
      <c r="J1391" s="18"/>
      <c r="K1391" s="18"/>
      <c r="L1391" s="18"/>
      <c r="M1391" s="18"/>
      <c r="N1391" s="18">
        <v>1310249</v>
      </c>
    </row>
    <row r="1392" spans="1:14">
      <c r="A1392" s="347" t="s">
        <v>1058</v>
      </c>
      <c r="B1392" s="18"/>
      <c r="C1392" s="18"/>
      <c r="D1392" s="18"/>
      <c r="E1392" s="18"/>
      <c r="F1392" s="18"/>
      <c r="G1392" s="18"/>
      <c r="H1392" s="18"/>
      <c r="I1392" s="18"/>
      <c r="J1392" s="18"/>
      <c r="K1392" s="18"/>
      <c r="L1392" s="18"/>
      <c r="M1392" s="18"/>
      <c r="N1392" s="18"/>
    </row>
    <row r="1393" spans="1:14">
      <c r="A1393" s="19" t="s">
        <v>1750</v>
      </c>
      <c r="B1393" s="18"/>
      <c r="C1393" s="18"/>
      <c r="D1393" s="18"/>
      <c r="E1393" s="18"/>
      <c r="F1393" s="18"/>
      <c r="G1393" s="18"/>
      <c r="H1393" s="18"/>
      <c r="I1393" s="18">
        <v>1736993</v>
      </c>
      <c r="J1393" s="18"/>
      <c r="K1393" s="18"/>
      <c r="L1393" s="18"/>
      <c r="M1393" s="18"/>
      <c r="N1393" s="18">
        <v>1736993</v>
      </c>
    </row>
    <row r="1394" spans="1:14">
      <c r="A1394" s="19" t="s">
        <v>1540</v>
      </c>
      <c r="B1394" s="18"/>
      <c r="C1394" s="18"/>
      <c r="D1394" s="18"/>
      <c r="E1394" s="18"/>
      <c r="F1394" s="18"/>
      <c r="G1394" s="18"/>
      <c r="H1394" s="18"/>
      <c r="I1394" s="18">
        <v>3189669</v>
      </c>
      <c r="J1394" s="18"/>
      <c r="K1394" s="18"/>
      <c r="L1394" s="18"/>
      <c r="M1394" s="18"/>
      <c r="N1394" s="18">
        <v>3189669</v>
      </c>
    </row>
    <row r="1395" spans="1:14">
      <c r="A1395" s="19" t="s">
        <v>1330</v>
      </c>
      <c r="B1395" s="18"/>
      <c r="C1395" s="18"/>
      <c r="D1395" s="18"/>
      <c r="E1395" s="18"/>
      <c r="F1395" s="18"/>
      <c r="G1395" s="18"/>
      <c r="H1395" s="18"/>
      <c r="I1395" s="18"/>
      <c r="J1395" s="18"/>
      <c r="K1395" s="18"/>
      <c r="L1395" s="18"/>
      <c r="M1395" s="18"/>
      <c r="N1395" s="18"/>
    </row>
    <row r="1396" spans="1:14">
      <c r="A1396" s="19" t="s">
        <v>1120</v>
      </c>
      <c r="B1396" s="18"/>
      <c r="C1396" s="18"/>
      <c r="D1396" s="18"/>
      <c r="E1396" s="18"/>
      <c r="F1396" s="18"/>
      <c r="G1396" s="18"/>
      <c r="H1396" s="18"/>
      <c r="I1396" s="18">
        <v>1310249</v>
      </c>
      <c r="J1396" s="18"/>
      <c r="K1396" s="18"/>
      <c r="L1396" s="18"/>
      <c r="M1396" s="18"/>
      <c r="N1396" s="18">
        <v>1310249</v>
      </c>
    </row>
    <row r="1397" spans="1:14">
      <c r="A1397" s="19" t="s">
        <v>910</v>
      </c>
      <c r="B1397" s="18"/>
      <c r="C1397" s="18"/>
      <c r="D1397" s="18"/>
      <c r="E1397" s="18"/>
      <c r="F1397" s="18"/>
      <c r="G1397" s="18"/>
      <c r="H1397" s="18"/>
      <c r="I1397" s="18"/>
      <c r="J1397" s="18"/>
      <c r="K1397" s="18"/>
      <c r="L1397" s="18"/>
      <c r="M1397" s="18"/>
      <c r="N1397" s="18"/>
    </row>
    <row r="1398" spans="1:14">
      <c r="A1398" s="4" t="s">
        <v>1899</v>
      </c>
      <c r="B1398" s="18"/>
      <c r="C1398" s="18"/>
      <c r="D1398" s="18"/>
      <c r="E1398" s="18"/>
      <c r="F1398" s="18"/>
      <c r="G1398" s="18"/>
      <c r="H1398" s="18"/>
      <c r="I1398" s="18">
        <v>1736993</v>
      </c>
      <c r="J1398" s="18"/>
      <c r="K1398" s="18"/>
      <c r="L1398" s="18"/>
      <c r="M1398" s="18"/>
      <c r="N1398" s="18">
        <v>1736993</v>
      </c>
    </row>
    <row r="1399" spans="1:14">
      <c r="A1399" s="4" t="s">
        <v>1689</v>
      </c>
      <c r="B1399" s="18"/>
      <c r="C1399" s="18"/>
      <c r="D1399" s="18"/>
      <c r="E1399" s="18"/>
      <c r="F1399" s="18"/>
      <c r="G1399" s="18"/>
      <c r="H1399" s="18"/>
      <c r="I1399" s="18">
        <v>3189669</v>
      </c>
      <c r="J1399" s="18"/>
      <c r="K1399" s="18"/>
      <c r="L1399" s="18"/>
      <c r="M1399" s="18"/>
      <c r="N1399" s="18">
        <v>3189669</v>
      </c>
    </row>
    <row r="1400" spans="1:14">
      <c r="A1400" s="4" t="s">
        <v>1479</v>
      </c>
      <c r="B1400" s="18"/>
      <c r="C1400" s="18"/>
      <c r="D1400" s="18"/>
      <c r="E1400" s="18"/>
      <c r="F1400" s="18"/>
      <c r="G1400" s="18"/>
      <c r="H1400" s="18"/>
      <c r="I1400" s="18"/>
      <c r="J1400" s="18"/>
      <c r="K1400" s="18"/>
      <c r="L1400" s="18"/>
      <c r="M1400" s="18"/>
      <c r="N1400" s="18"/>
    </row>
    <row r="1401" spans="1:14">
      <c r="A1401" s="4" t="s">
        <v>1269</v>
      </c>
      <c r="B1401" s="18"/>
      <c r="C1401" s="18"/>
      <c r="D1401" s="18"/>
      <c r="E1401" s="18"/>
      <c r="F1401" s="18"/>
      <c r="G1401" s="18"/>
      <c r="H1401" s="18"/>
      <c r="I1401" s="18">
        <v>1310249</v>
      </c>
      <c r="J1401" s="18"/>
      <c r="K1401" s="18"/>
      <c r="L1401" s="18"/>
      <c r="M1401" s="18"/>
      <c r="N1401" s="18">
        <v>1310249</v>
      </c>
    </row>
    <row r="1402" spans="1:14">
      <c r="A1402" s="4" t="s">
        <v>1059</v>
      </c>
      <c r="B1402" s="18"/>
      <c r="C1402" s="18"/>
      <c r="D1402" s="18"/>
      <c r="E1402" s="18"/>
      <c r="F1402" s="18"/>
      <c r="G1402" s="18"/>
      <c r="H1402" s="18"/>
      <c r="I1402" s="18"/>
      <c r="J1402" s="18"/>
      <c r="K1402" s="18"/>
      <c r="L1402" s="18"/>
      <c r="M1402" s="18"/>
      <c r="N1402" s="18"/>
    </row>
    <row r="1403" spans="1:14">
      <c r="A1403" s="4">
        <v>1905132</v>
      </c>
      <c r="B1403" s="18"/>
      <c r="C1403" s="18"/>
      <c r="D1403" s="18"/>
      <c r="E1403" s="18"/>
      <c r="F1403" s="18"/>
      <c r="G1403" s="18"/>
      <c r="H1403" s="18"/>
      <c r="I1403" s="18"/>
      <c r="J1403" s="18"/>
      <c r="K1403" s="18"/>
      <c r="L1403" s="18"/>
      <c r="M1403" s="18"/>
      <c r="N1403" s="18"/>
    </row>
    <row r="1404" spans="1:14">
      <c r="A1404" s="19">
        <v>880000</v>
      </c>
      <c r="B1404" s="18"/>
      <c r="C1404" s="18"/>
      <c r="D1404" s="18"/>
      <c r="E1404" s="18"/>
      <c r="F1404" s="18"/>
      <c r="G1404" s="18"/>
      <c r="H1404" s="18"/>
      <c r="I1404" s="18"/>
      <c r="J1404" s="18"/>
      <c r="K1404" s="18"/>
      <c r="L1404" s="18"/>
      <c r="M1404" s="18"/>
      <c r="N1404" s="18"/>
    </row>
    <row r="1405" spans="1:14">
      <c r="A1405" s="347">
        <v>3678947</v>
      </c>
      <c r="B1405" s="18"/>
      <c r="C1405" s="18"/>
      <c r="D1405" s="18"/>
      <c r="E1405" s="18"/>
      <c r="F1405" s="18"/>
      <c r="G1405" s="18"/>
      <c r="H1405" s="18"/>
      <c r="I1405" s="18"/>
      <c r="J1405" s="18"/>
      <c r="K1405" s="18"/>
      <c r="L1405" s="18"/>
      <c r="M1405" s="18"/>
      <c r="N1405" s="18"/>
    </row>
    <row r="1406" spans="1:14">
      <c r="A1406" s="489">
        <v>0</v>
      </c>
      <c r="B1406" s="18"/>
      <c r="C1406" s="18"/>
      <c r="D1406" s="18"/>
      <c r="E1406" s="18"/>
      <c r="F1406" s="18"/>
      <c r="G1406" s="18"/>
      <c r="H1406" s="18"/>
      <c r="I1406" s="18"/>
      <c r="J1406" s="18"/>
      <c r="K1406" s="18"/>
      <c r="L1406" s="18"/>
      <c r="M1406" s="18"/>
      <c r="N1406" s="18"/>
    </row>
    <row r="1407" spans="1:14">
      <c r="A1407" s="753">
        <v>0</v>
      </c>
      <c r="B1407" s="18"/>
      <c r="C1407" s="18"/>
      <c r="D1407" s="18"/>
      <c r="E1407" s="18"/>
      <c r="F1407" s="18"/>
      <c r="G1407" s="18"/>
      <c r="H1407" s="18"/>
      <c r="I1407" s="18"/>
      <c r="J1407" s="18"/>
      <c r="K1407" s="18"/>
      <c r="L1407" s="18"/>
      <c r="M1407" s="18"/>
      <c r="N1407" s="18"/>
    </row>
    <row r="1408" spans="1:14">
      <c r="A1408" s="754" t="s">
        <v>898</v>
      </c>
      <c r="B1408" s="18"/>
      <c r="C1408" s="18"/>
      <c r="D1408" s="18"/>
      <c r="E1408" s="18">
        <v>1905132</v>
      </c>
      <c r="F1408" s="18"/>
      <c r="G1408" s="18"/>
      <c r="H1408" s="18"/>
      <c r="I1408" s="18"/>
      <c r="J1408" s="18"/>
      <c r="K1408" s="18"/>
      <c r="L1408" s="18"/>
      <c r="M1408" s="18"/>
      <c r="N1408" s="18">
        <v>1905132</v>
      </c>
    </row>
    <row r="1409" spans="1:14">
      <c r="A1409" s="754" t="s">
        <v>901</v>
      </c>
      <c r="B1409" s="18"/>
      <c r="C1409" s="18"/>
      <c r="D1409" s="18"/>
      <c r="E1409" s="18">
        <v>3678947</v>
      </c>
      <c r="F1409" s="18"/>
      <c r="G1409" s="18"/>
      <c r="H1409" s="18"/>
      <c r="I1409" s="18"/>
      <c r="J1409" s="18"/>
      <c r="K1409" s="18"/>
      <c r="L1409" s="18"/>
      <c r="M1409" s="18"/>
      <c r="N1409" s="18">
        <v>3678947</v>
      </c>
    </row>
    <row r="1410" spans="1:14">
      <c r="A1410" s="754" t="s">
        <v>903</v>
      </c>
      <c r="B1410" s="18"/>
      <c r="C1410" s="18"/>
      <c r="D1410" s="18"/>
      <c r="E1410" s="18">
        <v>880000</v>
      </c>
      <c r="F1410" s="18"/>
      <c r="G1410" s="18"/>
      <c r="H1410" s="18"/>
      <c r="I1410" s="18"/>
      <c r="J1410" s="18"/>
      <c r="K1410" s="18"/>
      <c r="L1410" s="18"/>
      <c r="M1410" s="18"/>
      <c r="N1410" s="18">
        <v>880000</v>
      </c>
    </row>
    <row r="1411" spans="1:14">
      <c r="A1411" s="754" t="s">
        <v>905</v>
      </c>
      <c r="B1411" s="18"/>
      <c r="C1411" s="18"/>
      <c r="D1411" s="18"/>
      <c r="E1411" s="18">
        <v>0</v>
      </c>
      <c r="F1411" s="18"/>
      <c r="G1411" s="18"/>
      <c r="H1411" s="18"/>
      <c r="I1411" s="18"/>
      <c r="J1411" s="18"/>
      <c r="K1411" s="18"/>
      <c r="L1411" s="18"/>
      <c r="M1411" s="18"/>
      <c r="N1411" s="18">
        <v>0</v>
      </c>
    </row>
    <row r="1412" spans="1:14">
      <c r="A1412" s="754" t="s">
        <v>174</v>
      </c>
      <c r="B1412" s="18"/>
      <c r="C1412" s="18"/>
      <c r="D1412" s="18"/>
      <c r="E1412" s="18">
        <v>0</v>
      </c>
      <c r="F1412" s="18"/>
      <c r="G1412" s="18"/>
      <c r="H1412" s="18"/>
      <c r="I1412" s="18"/>
      <c r="J1412" s="18"/>
      <c r="K1412" s="18"/>
      <c r="L1412" s="18"/>
      <c r="M1412" s="18"/>
      <c r="N1412" s="18">
        <v>0</v>
      </c>
    </row>
    <row r="1413" spans="1:14">
      <c r="A1413" s="489" t="s">
        <v>1755</v>
      </c>
      <c r="B1413" s="18"/>
      <c r="C1413" s="18"/>
      <c r="D1413" s="18"/>
      <c r="E1413" s="18">
        <v>1905132</v>
      </c>
      <c r="F1413" s="18"/>
      <c r="G1413" s="18"/>
      <c r="H1413" s="18"/>
      <c r="I1413" s="18"/>
      <c r="J1413" s="18"/>
      <c r="K1413" s="18"/>
      <c r="L1413" s="18"/>
      <c r="M1413" s="18"/>
      <c r="N1413" s="18">
        <v>1905132</v>
      </c>
    </row>
    <row r="1414" spans="1:14">
      <c r="A1414" s="489" t="s">
        <v>1545</v>
      </c>
      <c r="B1414" s="18"/>
      <c r="C1414" s="18"/>
      <c r="D1414" s="18"/>
      <c r="E1414" s="18">
        <v>3678947</v>
      </c>
      <c r="F1414" s="18"/>
      <c r="G1414" s="18"/>
      <c r="H1414" s="18"/>
      <c r="I1414" s="18"/>
      <c r="J1414" s="18"/>
      <c r="K1414" s="18"/>
      <c r="L1414" s="18"/>
      <c r="M1414" s="18"/>
      <c r="N1414" s="18">
        <v>3678947</v>
      </c>
    </row>
    <row r="1415" spans="1:14">
      <c r="A1415" s="489" t="s">
        <v>1335</v>
      </c>
      <c r="B1415" s="18"/>
      <c r="C1415" s="18"/>
      <c r="D1415" s="18"/>
      <c r="E1415" s="18">
        <v>880000</v>
      </c>
      <c r="F1415" s="18"/>
      <c r="G1415" s="18"/>
      <c r="H1415" s="18"/>
      <c r="I1415" s="18"/>
      <c r="J1415" s="18"/>
      <c r="K1415" s="18"/>
      <c r="L1415" s="18"/>
      <c r="M1415" s="18"/>
      <c r="N1415" s="18">
        <v>880000</v>
      </c>
    </row>
    <row r="1416" spans="1:14">
      <c r="A1416" s="489" t="s">
        <v>1125</v>
      </c>
      <c r="B1416" s="18"/>
      <c r="C1416" s="18"/>
      <c r="D1416" s="18"/>
      <c r="E1416" s="18">
        <v>0</v>
      </c>
      <c r="F1416" s="18"/>
      <c r="G1416" s="18"/>
      <c r="H1416" s="18"/>
      <c r="I1416" s="18"/>
      <c r="J1416" s="18"/>
      <c r="K1416" s="18"/>
      <c r="L1416" s="18"/>
      <c r="M1416" s="18"/>
      <c r="N1416" s="18">
        <v>0</v>
      </c>
    </row>
    <row r="1417" spans="1:14">
      <c r="A1417" s="489" t="s">
        <v>915</v>
      </c>
      <c r="B1417" s="18"/>
      <c r="C1417" s="18"/>
      <c r="D1417" s="18"/>
      <c r="E1417" s="18">
        <v>0</v>
      </c>
      <c r="F1417" s="18"/>
      <c r="G1417" s="18"/>
      <c r="H1417" s="18"/>
      <c r="I1417" s="18"/>
      <c r="J1417" s="18"/>
      <c r="K1417" s="18"/>
      <c r="L1417" s="18"/>
      <c r="M1417" s="18"/>
      <c r="N1417" s="18">
        <v>0</v>
      </c>
    </row>
    <row r="1418" spans="1:14">
      <c r="A1418" s="347" t="s">
        <v>1900</v>
      </c>
      <c r="B1418" s="18"/>
      <c r="C1418" s="18"/>
      <c r="D1418" s="18"/>
      <c r="E1418" s="18">
        <v>1905132</v>
      </c>
      <c r="F1418" s="18"/>
      <c r="G1418" s="18"/>
      <c r="H1418" s="18"/>
      <c r="I1418" s="18"/>
      <c r="J1418" s="18"/>
      <c r="K1418" s="18"/>
      <c r="L1418" s="18"/>
      <c r="M1418" s="18"/>
      <c r="N1418" s="18">
        <v>1905132</v>
      </c>
    </row>
    <row r="1419" spans="1:14">
      <c r="A1419" s="347" t="s">
        <v>1690</v>
      </c>
      <c r="B1419" s="18"/>
      <c r="C1419" s="18"/>
      <c r="D1419" s="18"/>
      <c r="E1419" s="18">
        <v>3678947</v>
      </c>
      <c r="F1419" s="18"/>
      <c r="G1419" s="18"/>
      <c r="H1419" s="18"/>
      <c r="I1419" s="18"/>
      <c r="J1419" s="18"/>
      <c r="K1419" s="18"/>
      <c r="L1419" s="18"/>
      <c r="M1419" s="18"/>
      <c r="N1419" s="18">
        <v>3678947</v>
      </c>
    </row>
    <row r="1420" spans="1:14">
      <c r="A1420" s="347" t="s">
        <v>1480</v>
      </c>
      <c r="B1420" s="18"/>
      <c r="C1420" s="18"/>
      <c r="D1420" s="18"/>
      <c r="E1420" s="18">
        <v>880000</v>
      </c>
      <c r="F1420" s="18"/>
      <c r="G1420" s="18"/>
      <c r="H1420" s="18"/>
      <c r="I1420" s="18"/>
      <c r="J1420" s="18"/>
      <c r="K1420" s="18"/>
      <c r="L1420" s="18"/>
      <c r="M1420" s="18"/>
      <c r="N1420" s="18">
        <v>880000</v>
      </c>
    </row>
    <row r="1421" spans="1:14">
      <c r="A1421" s="347" t="s">
        <v>1270</v>
      </c>
      <c r="B1421" s="18"/>
      <c r="C1421" s="18"/>
      <c r="D1421" s="18"/>
      <c r="E1421" s="18">
        <v>0</v>
      </c>
      <c r="F1421" s="18"/>
      <c r="G1421" s="18"/>
      <c r="H1421" s="18"/>
      <c r="I1421" s="18"/>
      <c r="J1421" s="18"/>
      <c r="K1421" s="18"/>
      <c r="L1421" s="18"/>
      <c r="M1421" s="18"/>
      <c r="N1421" s="18">
        <v>0</v>
      </c>
    </row>
    <row r="1422" spans="1:14">
      <c r="A1422" s="347" t="s">
        <v>1060</v>
      </c>
      <c r="B1422" s="18"/>
      <c r="C1422" s="18"/>
      <c r="D1422" s="18"/>
      <c r="E1422" s="18">
        <v>0</v>
      </c>
      <c r="F1422" s="18"/>
      <c r="G1422" s="18"/>
      <c r="H1422" s="18"/>
      <c r="I1422" s="18"/>
      <c r="J1422" s="18"/>
      <c r="K1422" s="18"/>
      <c r="L1422" s="18"/>
      <c r="M1422" s="18"/>
      <c r="N1422" s="18">
        <v>0</v>
      </c>
    </row>
    <row r="1423" spans="1:14">
      <c r="A1423" s="19" t="s">
        <v>1901</v>
      </c>
      <c r="B1423" s="18"/>
      <c r="C1423" s="18"/>
      <c r="D1423" s="18"/>
      <c r="E1423" s="18">
        <v>1905132</v>
      </c>
      <c r="F1423" s="18"/>
      <c r="G1423" s="18"/>
      <c r="H1423" s="18"/>
      <c r="I1423" s="18"/>
      <c r="J1423" s="18"/>
      <c r="K1423" s="18"/>
      <c r="L1423" s="18"/>
      <c r="M1423" s="18"/>
      <c r="N1423" s="18">
        <v>1905132</v>
      </c>
    </row>
    <row r="1424" spans="1:14">
      <c r="A1424" s="19" t="s">
        <v>1691</v>
      </c>
      <c r="B1424" s="18"/>
      <c r="C1424" s="18"/>
      <c r="D1424" s="18"/>
      <c r="E1424" s="18">
        <v>3678947</v>
      </c>
      <c r="F1424" s="18"/>
      <c r="G1424" s="18"/>
      <c r="H1424" s="18"/>
      <c r="I1424" s="18"/>
      <c r="J1424" s="18"/>
      <c r="K1424" s="18"/>
      <c r="L1424" s="18"/>
      <c r="M1424" s="18"/>
      <c r="N1424" s="18">
        <v>3678947</v>
      </c>
    </row>
    <row r="1425" spans="1:14">
      <c r="A1425" s="19" t="s">
        <v>1481</v>
      </c>
      <c r="B1425" s="18"/>
      <c r="C1425" s="18"/>
      <c r="D1425" s="18"/>
      <c r="E1425" s="18">
        <v>880000</v>
      </c>
      <c r="F1425" s="18"/>
      <c r="G1425" s="18"/>
      <c r="H1425" s="18"/>
      <c r="I1425" s="18"/>
      <c r="J1425" s="18"/>
      <c r="K1425" s="18"/>
      <c r="L1425" s="18"/>
      <c r="M1425" s="18"/>
      <c r="N1425" s="18">
        <v>880000</v>
      </c>
    </row>
    <row r="1426" spans="1:14">
      <c r="A1426" s="19" t="s">
        <v>1271</v>
      </c>
      <c r="B1426" s="18"/>
      <c r="C1426" s="18"/>
      <c r="D1426" s="18"/>
      <c r="E1426" s="18">
        <v>0</v>
      </c>
      <c r="F1426" s="18"/>
      <c r="G1426" s="18"/>
      <c r="H1426" s="18"/>
      <c r="I1426" s="18"/>
      <c r="J1426" s="18"/>
      <c r="K1426" s="18"/>
      <c r="L1426" s="18"/>
      <c r="M1426" s="18"/>
      <c r="N1426" s="18">
        <v>0</v>
      </c>
    </row>
    <row r="1427" spans="1:14">
      <c r="A1427" s="19" t="s">
        <v>1061</v>
      </c>
      <c r="B1427" s="18"/>
      <c r="C1427" s="18"/>
      <c r="D1427" s="18"/>
      <c r="E1427" s="18">
        <v>0</v>
      </c>
      <c r="F1427" s="18"/>
      <c r="G1427" s="18"/>
      <c r="H1427" s="18"/>
      <c r="I1427" s="18"/>
      <c r="J1427" s="18"/>
      <c r="K1427" s="18"/>
      <c r="L1427" s="18"/>
      <c r="M1427" s="18"/>
      <c r="N1427" s="18">
        <v>0</v>
      </c>
    </row>
    <row r="1428" spans="1:14">
      <c r="A1428" s="4" t="s">
        <v>1902</v>
      </c>
      <c r="B1428" s="18"/>
      <c r="C1428" s="18"/>
      <c r="D1428" s="18"/>
      <c r="E1428" s="18">
        <v>1905132</v>
      </c>
      <c r="F1428" s="18"/>
      <c r="G1428" s="18"/>
      <c r="H1428" s="18"/>
      <c r="I1428" s="18"/>
      <c r="J1428" s="18"/>
      <c r="K1428" s="18"/>
      <c r="L1428" s="18"/>
      <c r="M1428" s="18"/>
      <c r="N1428" s="18">
        <v>1905132</v>
      </c>
    </row>
    <row r="1429" spans="1:14">
      <c r="A1429" s="4" t="s">
        <v>1692</v>
      </c>
      <c r="B1429" s="18"/>
      <c r="C1429" s="18"/>
      <c r="D1429" s="18"/>
      <c r="E1429" s="18">
        <v>3678947</v>
      </c>
      <c r="F1429" s="18"/>
      <c r="G1429" s="18"/>
      <c r="H1429" s="18"/>
      <c r="I1429" s="18"/>
      <c r="J1429" s="18"/>
      <c r="K1429" s="18"/>
      <c r="L1429" s="18"/>
      <c r="M1429" s="18"/>
      <c r="N1429" s="18">
        <v>3678947</v>
      </c>
    </row>
    <row r="1430" spans="1:14">
      <c r="A1430" s="4" t="s">
        <v>1482</v>
      </c>
      <c r="B1430" s="18"/>
      <c r="C1430" s="18"/>
      <c r="D1430" s="18"/>
      <c r="E1430" s="18">
        <v>880000</v>
      </c>
      <c r="F1430" s="18"/>
      <c r="G1430" s="18"/>
      <c r="H1430" s="18"/>
      <c r="I1430" s="18"/>
      <c r="J1430" s="18"/>
      <c r="K1430" s="18"/>
      <c r="L1430" s="18"/>
      <c r="M1430" s="18"/>
      <c r="N1430" s="18">
        <v>880000</v>
      </c>
    </row>
    <row r="1431" spans="1:14">
      <c r="A1431" s="4" t="s">
        <v>1272</v>
      </c>
      <c r="B1431" s="18"/>
      <c r="C1431" s="18"/>
      <c r="D1431" s="18"/>
      <c r="E1431" s="18">
        <v>0</v>
      </c>
      <c r="F1431" s="18"/>
      <c r="G1431" s="18"/>
      <c r="H1431" s="18"/>
      <c r="I1431" s="18"/>
      <c r="J1431" s="18"/>
      <c r="K1431" s="18"/>
      <c r="L1431" s="18"/>
      <c r="M1431" s="18"/>
      <c r="N1431" s="18">
        <v>0</v>
      </c>
    </row>
    <row r="1432" spans="1:14">
      <c r="A1432" s="4" t="s">
        <v>1062</v>
      </c>
      <c r="B1432" s="18"/>
      <c r="C1432" s="18"/>
      <c r="D1432" s="18"/>
      <c r="E1432" s="18">
        <v>0</v>
      </c>
      <c r="F1432" s="18"/>
      <c r="G1432" s="18"/>
      <c r="H1432" s="18"/>
      <c r="I1432" s="18"/>
      <c r="J1432" s="18"/>
      <c r="K1432" s="18"/>
      <c r="L1432" s="18"/>
      <c r="M1432" s="18"/>
      <c r="N1432" s="18">
        <v>0</v>
      </c>
    </row>
    <row r="1433" spans="1:14">
      <c r="A1433" s="4">
        <v>1916369</v>
      </c>
      <c r="B1433" s="18"/>
      <c r="C1433" s="18"/>
      <c r="D1433" s="18"/>
      <c r="E1433" s="18"/>
      <c r="F1433" s="18"/>
      <c r="G1433" s="18"/>
      <c r="H1433" s="18"/>
      <c r="I1433" s="18"/>
      <c r="J1433" s="18"/>
      <c r="K1433" s="18"/>
      <c r="L1433" s="18"/>
      <c r="M1433" s="18"/>
      <c r="N1433" s="18"/>
    </row>
    <row r="1434" spans="1:14">
      <c r="A1434" s="19">
        <v>1</v>
      </c>
      <c r="B1434" s="18"/>
      <c r="C1434" s="18"/>
      <c r="D1434" s="18"/>
      <c r="E1434" s="18"/>
      <c r="F1434" s="18"/>
      <c r="G1434" s="18"/>
      <c r="H1434" s="18"/>
      <c r="I1434" s="18"/>
      <c r="J1434" s="18"/>
      <c r="K1434" s="18"/>
      <c r="L1434" s="18"/>
      <c r="M1434" s="18"/>
      <c r="N1434" s="18"/>
    </row>
    <row r="1435" spans="1:14">
      <c r="A1435" s="347">
        <v>3571759.95</v>
      </c>
      <c r="B1435" s="18"/>
      <c r="C1435" s="18"/>
      <c r="D1435" s="18"/>
      <c r="E1435" s="18"/>
      <c r="F1435" s="18"/>
      <c r="G1435" s="18"/>
      <c r="H1435" s="18"/>
      <c r="I1435" s="18"/>
      <c r="J1435" s="18"/>
      <c r="K1435" s="18"/>
      <c r="L1435" s="18"/>
      <c r="M1435" s="18"/>
      <c r="N1435" s="18"/>
    </row>
    <row r="1436" spans="1:14">
      <c r="A1436" s="489">
        <v>0</v>
      </c>
      <c r="B1436" s="18"/>
      <c r="C1436" s="18"/>
      <c r="D1436" s="18"/>
      <c r="E1436" s="18"/>
      <c r="F1436" s="18"/>
      <c r="G1436" s="18"/>
      <c r="H1436" s="18"/>
      <c r="I1436" s="18"/>
      <c r="J1436" s="18"/>
      <c r="K1436" s="18"/>
      <c r="L1436" s="18"/>
      <c r="M1436" s="18"/>
      <c r="N1436" s="18"/>
    </row>
    <row r="1437" spans="1:14">
      <c r="A1437" s="753">
        <v>0</v>
      </c>
      <c r="B1437" s="18"/>
      <c r="C1437" s="18"/>
      <c r="D1437" s="18"/>
      <c r="E1437" s="18"/>
      <c r="F1437" s="18"/>
      <c r="G1437" s="18"/>
      <c r="H1437" s="18"/>
      <c r="I1437" s="18"/>
      <c r="J1437" s="18"/>
      <c r="K1437" s="18"/>
      <c r="L1437" s="18"/>
      <c r="M1437" s="18"/>
      <c r="N1437" s="18"/>
    </row>
    <row r="1438" spans="1:14">
      <c r="A1438" s="754" t="s">
        <v>898</v>
      </c>
      <c r="B1438" s="18"/>
      <c r="C1438" s="18"/>
      <c r="D1438" s="18"/>
      <c r="E1438" s="18">
        <v>1916369</v>
      </c>
      <c r="F1438" s="18"/>
      <c r="G1438" s="18"/>
      <c r="H1438" s="18"/>
      <c r="I1438" s="18"/>
      <c r="J1438" s="18"/>
      <c r="K1438" s="18"/>
      <c r="L1438" s="18"/>
      <c r="M1438" s="18"/>
      <c r="N1438" s="18">
        <v>1916369</v>
      </c>
    </row>
    <row r="1439" spans="1:14">
      <c r="A1439" s="754" t="s">
        <v>901</v>
      </c>
      <c r="B1439" s="18"/>
      <c r="C1439" s="18"/>
      <c r="D1439" s="18"/>
      <c r="E1439" s="18">
        <v>3571759.95</v>
      </c>
      <c r="F1439" s="18"/>
      <c r="G1439" s="18"/>
      <c r="H1439" s="18"/>
      <c r="I1439" s="18"/>
      <c r="J1439" s="18"/>
      <c r="K1439" s="18"/>
      <c r="L1439" s="18"/>
      <c r="M1439" s="18"/>
      <c r="N1439" s="18">
        <v>3571759.95</v>
      </c>
    </row>
    <row r="1440" spans="1:14">
      <c r="A1440" s="754" t="s">
        <v>903</v>
      </c>
      <c r="B1440" s="18"/>
      <c r="C1440" s="18"/>
      <c r="D1440" s="18"/>
      <c r="E1440" s="18">
        <v>1</v>
      </c>
      <c r="F1440" s="18"/>
      <c r="G1440" s="18"/>
      <c r="H1440" s="18"/>
      <c r="I1440" s="18"/>
      <c r="J1440" s="18"/>
      <c r="K1440" s="18"/>
      <c r="L1440" s="18"/>
      <c r="M1440" s="18"/>
      <c r="N1440" s="18">
        <v>1</v>
      </c>
    </row>
    <row r="1441" spans="1:14">
      <c r="A1441" s="754" t="s">
        <v>905</v>
      </c>
      <c r="B1441" s="18"/>
      <c r="C1441" s="18"/>
      <c r="D1441" s="18"/>
      <c r="E1441" s="18">
        <v>0</v>
      </c>
      <c r="F1441" s="18"/>
      <c r="G1441" s="18"/>
      <c r="H1441" s="18"/>
      <c r="I1441" s="18"/>
      <c r="J1441" s="18"/>
      <c r="K1441" s="18"/>
      <c r="L1441" s="18"/>
      <c r="M1441" s="18"/>
      <c r="N1441" s="18">
        <v>0</v>
      </c>
    </row>
    <row r="1442" spans="1:14">
      <c r="A1442" s="754" t="s">
        <v>174</v>
      </c>
      <c r="B1442" s="18"/>
      <c r="C1442" s="18"/>
      <c r="D1442" s="18"/>
      <c r="E1442" s="18">
        <v>0</v>
      </c>
      <c r="F1442" s="18"/>
      <c r="G1442" s="18"/>
      <c r="H1442" s="18"/>
      <c r="I1442" s="18"/>
      <c r="J1442" s="18"/>
      <c r="K1442" s="18"/>
      <c r="L1442" s="18"/>
      <c r="M1442" s="18"/>
      <c r="N1442" s="18">
        <v>0</v>
      </c>
    </row>
    <row r="1443" spans="1:14">
      <c r="A1443" s="489" t="s">
        <v>1755</v>
      </c>
      <c r="B1443" s="18"/>
      <c r="C1443" s="18"/>
      <c r="D1443" s="18"/>
      <c r="E1443" s="18">
        <v>1916369</v>
      </c>
      <c r="F1443" s="18"/>
      <c r="G1443" s="18"/>
      <c r="H1443" s="18"/>
      <c r="I1443" s="18"/>
      <c r="J1443" s="18"/>
      <c r="K1443" s="18"/>
      <c r="L1443" s="18"/>
      <c r="M1443" s="18"/>
      <c r="N1443" s="18">
        <v>1916369</v>
      </c>
    </row>
    <row r="1444" spans="1:14">
      <c r="A1444" s="489" t="s">
        <v>1545</v>
      </c>
      <c r="B1444" s="18"/>
      <c r="C1444" s="18"/>
      <c r="D1444" s="18"/>
      <c r="E1444" s="18">
        <v>3571759.95</v>
      </c>
      <c r="F1444" s="18"/>
      <c r="G1444" s="18"/>
      <c r="H1444" s="18"/>
      <c r="I1444" s="18"/>
      <c r="J1444" s="18"/>
      <c r="K1444" s="18"/>
      <c r="L1444" s="18"/>
      <c r="M1444" s="18"/>
      <c r="N1444" s="18">
        <v>3571759.95</v>
      </c>
    </row>
    <row r="1445" spans="1:14">
      <c r="A1445" s="489" t="s">
        <v>1335</v>
      </c>
      <c r="B1445" s="18"/>
      <c r="C1445" s="18"/>
      <c r="D1445" s="18"/>
      <c r="E1445" s="18">
        <v>1</v>
      </c>
      <c r="F1445" s="18"/>
      <c r="G1445" s="18"/>
      <c r="H1445" s="18"/>
      <c r="I1445" s="18"/>
      <c r="J1445" s="18"/>
      <c r="K1445" s="18"/>
      <c r="L1445" s="18"/>
      <c r="M1445" s="18"/>
      <c r="N1445" s="18">
        <v>1</v>
      </c>
    </row>
    <row r="1446" spans="1:14">
      <c r="A1446" s="489" t="s">
        <v>1125</v>
      </c>
      <c r="B1446" s="18"/>
      <c r="C1446" s="18"/>
      <c r="D1446" s="18"/>
      <c r="E1446" s="18">
        <v>0</v>
      </c>
      <c r="F1446" s="18"/>
      <c r="G1446" s="18"/>
      <c r="H1446" s="18"/>
      <c r="I1446" s="18"/>
      <c r="J1446" s="18"/>
      <c r="K1446" s="18"/>
      <c r="L1446" s="18"/>
      <c r="M1446" s="18"/>
      <c r="N1446" s="18">
        <v>0</v>
      </c>
    </row>
    <row r="1447" spans="1:14">
      <c r="A1447" s="489" t="s">
        <v>915</v>
      </c>
      <c r="B1447" s="18"/>
      <c r="C1447" s="18"/>
      <c r="D1447" s="18"/>
      <c r="E1447" s="18">
        <v>0</v>
      </c>
      <c r="F1447" s="18"/>
      <c r="G1447" s="18"/>
      <c r="H1447" s="18"/>
      <c r="I1447" s="18"/>
      <c r="J1447" s="18"/>
      <c r="K1447" s="18"/>
      <c r="L1447" s="18"/>
      <c r="M1447" s="18"/>
      <c r="N1447" s="18">
        <v>0</v>
      </c>
    </row>
    <row r="1448" spans="1:14">
      <c r="A1448" s="347" t="s">
        <v>1903</v>
      </c>
      <c r="B1448" s="18"/>
      <c r="C1448" s="18"/>
      <c r="D1448" s="18"/>
      <c r="E1448" s="18">
        <v>1916369</v>
      </c>
      <c r="F1448" s="18"/>
      <c r="G1448" s="18"/>
      <c r="H1448" s="18"/>
      <c r="I1448" s="18"/>
      <c r="J1448" s="18"/>
      <c r="K1448" s="18"/>
      <c r="L1448" s="18"/>
      <c r="M1448" s="18"/>
      <c r="N1448" s="18">
        <v>1916369</v>
      </c>
    </row>
    <row r="1449" spans="1:14">
      <c r="A1449" s="347" t="s">
        <v>1693</v>
      </c>
      <c r="B1449" s="18"/>
      <c r="C1449" s="18"/>
      <c r="D1449" s="18"/>
      <c r="E1449" s="18">
        <v>3571759.95</v>
      </c>
      <c r="F1449" s="18"/>
      <c r="G1449" s="18"/>
      <c r="H1449" s="18"/>
      <c r="I1449" s="18"/>
      <c r="J1449" s="18"/>
      <c r="K1449" s="18"/>
      <c r="L1449" s="18"/>
      <c r="M1449" s="18"/>
      <c r="N1449" s="18">
        <v>3571759.95</v>
      </c>
    </row>
    <row r="1450" spans="1:14">
      <c r="A1450" s="347" t="s">
        <v>1483</v>
      </c>
      <c r="B1450" s="18"/>
      <c r="C1450" s="18"/>
      <c r="D1450" s="18"/>
      <c r="E1450" s="18">
        <v>1</v>
      </c>
      <c r="F1450" s="18"/>
      <c r="G1450" s="18"/>
      <c r="H1450" s="18"/>
      <c r="I1450" s="18"/>
      <c r="J1450" s="18"/>
      <c r="K1450" s="18"/>
      <c r="L1450" s="18"/>
      <c r="M1450" s="18"/>
      <c r="N1450" s="18">
        <v>1</v>
      </c>
    </row>
    <row r="1451" spans="1:14">
      <c r="A1451" s="347" t="s">
        <v>1273</v>
      </c>
      <c r="B1451" s="18"/>
      <c r="C1451" s="18"/>
      <c r="D1451" s="18"/>
      <c r="E1451" s="18">
        <v>0</v>
      </c>
      <c r="F1451" s="18"/>
      <c r="G1451" s="18"/>
      <c r="H1451" s="18"/>
      <c r="I1451" s="18"/>
      <c r="J1451" s="18"/>
      <c r="K1451" s="18"/>
      <c r="L1451" s="18"/>
      <c r="M1451" s="18"/>
      <c r="N1451" s="18">
        <v>0</v>
      </c>
    </row>
    <row r="1452" spans="1:14">
      <c r="A1452" s="347" t="s">
        <v>1063</v>
      </c>
      <c r="B1452" s="18"/>
      <c r="C1452" s="18"/>
      <c r="D1452" s="18"/>
      <c r="E1452" s="18">
        <v>0</v>
      </c>
      <c r="F1452" s="18"/>
      <c r="G1452" s="18"/>
      <c r="H1452" s="18"/>
      <c r="I1452" s="18"/>
      <c r="J1452" s="18"/>
      <c r="K1452" s="18"/>
      <c r="L1452" s="18"/>
      <c r="M1452" s="18"/>
      <c r="N1452" s="18">
        <v>0</v>
      </c>
    </row>
    <row r="1453" spans="1:14">
      <c r="A1453" s="19" t="s">
        <v>1777</v>
      </c>
      <c r="B1453" s="18"/>
      <c r="C1453" s="18"/>
      <c r="D1453" s="18"/>
      <c r="E1453" s="18">
        <v>1916369</v>
      </c>
      <c r="F1453" s="18"/>
      <c r="G1453" s="18"/>
      <c r="H1453" s="18"/>
      <c r="I1453" s="18"/>
      <c r="J1453" s="18"/>
      <c r="K1453" s="18"/>
      <c r="L1453" s="18"/>
      <c r="M1453" s="18"/>
      <c r="N1453" s="18">
        <v>1916369</v>
      </c>
    </row>
    <row r="1454" spans="1:14">
      <c r="A1454" s="19" t="s">
        <v>1567</v>
      </c>
      <c r="B1454" s="18"/>
      <c r="C1454" s="18"/>
      <c r="D1454" s="18"/>
      <c r="E1454" s="18">
        <v>3571759.95</v>
      </c>
      <c r="F1454" s="18"/>
      <c r="G1454" s="18"/>
      <c r="H1454" s="18"/>
      <c r="I1454" s="18"/>
      <c r="J1454" s="18"/>
      <c r="K1454" s="18"/>
      <c r="L1454" s="18"/>
      <c r="M1454" s="18"/>
      <c r="N1454" s="18">
        <v>3571759.95</v>
      </c>
    </row>
    <row r="1455" spans="1:14">
      <c r="A1455" s="19" t="s">
        <v>1357</v>
      </c>
      <c r="B1455" s="18"/>
      <c r="C1455" s="18"/>
      <c r="D1455" s="18"/>
      <c r="E1455" s="18">
        <v>1</v>
      </c>
      <c r="F1455" s="18"/>
      <c r="G1455" s="18"/>
      <c r="H1455" s="18"/>
      <c r="I1455" s="18"/>
      <c r="J1455" s="18"/>
      <c r="K1455" s="18"/>
      <c r="L1455" s="18"/>
      <c r="M1455" s="18"/>
      <c r="N1455" s="18">
        <v>1</v>
      </c>
    </row>
    <row r="1456" spans="1:14">
      <c r="A1456" s="19" t="s">
        <v>1147</v>
      </c>
      <c r="B1456" s="18"/>
      <c r="C1456" s="18"/>
      <c r="D1456" s="18"/>
      <c r="E1456" s="18">
        <v>0</v>
      </c>
      <c r="F1456" s="18"/>
      <c r="G1456" s="18"/>
      <c r="H1456" s="18"/>
      <c r="I1456" s="18"/>
      <c r="J1456" s="18"/>
      <c r="K1456" s="18"/>
      <c r="L1456" s="18"/>
      <c r="M1456" s="18"/>
      <c r="N1456" s="18">
        <v>0</v>
      </c>
    </row>
    <row r="1457" spans="1:14">
      <c r="A1457" s="19" t="s">
        <v>937</v>
      </c>
      <c r="B1457" s="18"/>
      <c r="C1457" s="18"/>
      <c r="D1457" s="18"/>
      <c r="E1457" s="18">
        <v>0</v>
      </c>
      <c r="F1457" s="18"/>
      <c r="G1457" s="18"/>
      <c r="H1457" s="18"/>
      <c r="I1457" s="18"/>
      <c r="J1457" s="18"/>
      <c r="K1457" s="18"/>
      <c r="L1457" s="18"/>
      <c r="M1457" s="18"/>
      <c r="N1457" s="18">
        <v>0</v>
      </c>
    </row>
    <row r="1458" spans="1:14">
      <c r="A1458" s="4" t="s">
        <v>1904</v>
      </c>
      <c r="B1458" s="18"/>
      <c r="C1458" s="18"/>
      <c r="D1458" s="18"/>
      <c r="E1458" s="18">
        <v>1916369</v>
      </c>
      <c r="F1458" s="18"/>
      <c r="G1458" s="18"/>
      <c r="H1458" s="18"/>
      <c r="I1458" s="18"/>
      <c r="J1458" s="18"/>
      <c r="K1458" s="18"/>
      <c r="L1458" s="18"/>
      <c r="M1458" s="18"/>
      <c r="N1458" s="18">
        <v>1916369</v>
      </c>
    </row>
    <row r="1459" spans="1:14">
      <c r="A1459" s="4" t="s">
        <v>1694</v>
      </c>
      <c r="B1459" s="18"/>
      <c r="C1459" s="18"/>
      <c r="D1459" s="18"/>
      <c r="E1459" s="18">
        <v>3571759.95</v>
      </c>
      <c r="F1459" s="18"/>
      <c r="G1459" s="18"/>
      <c r="H1459" s="18"/>
      <c r="I1459" s="18"/>
      <c r="J1459" s="18"/>
      <c r="K1459" s="18"/>
      <c r="L1459" s="18"/>
      <c r="M1459" s="18"/>
      <c r="N1459" s="18">
        <v>3571759.95</v>
      </c>
    </row>
    <row r="1460" spans="1:14">
      <c r="A1460" s="4" t="s">
        <v>1484</v>
      </c>
      <c r="B1460" s="18"/>
      <c r="C1460" s="18"/>
      <c r="D1460" s="18"/>
      <c r="E1460" s="18">
        <v>1</v>
      </c>
      <c r="F1460" s="18"/>
      <c r="G1460" s="18"/>
      <c r="H1460" s="18"/>
      <c r="I1460" s="18"/>
      <c r="J1460" s="18"/>
      <c r="K1460" s="18"/>
      <c r="L1460" s="18"/>
      <c r="M1460" s="18"/>
      <c r="N1460" s="18">
        <v>1</v>
      </c>
    </row>
    <row r="1461" spans="1:14">
      <c r="A1461" s="4" t="s">
        <v>1274</v>
      </c>
      <c r="B1461" s="18"/>
      <c r="C1461" s="18"/>
      <c r="D1461" s="18"/>
      <c r="E1461" s="18">
        <v>0</v>
      </c>
      <c r="F1461" s="18"/>
      <c r="G1461" s="18"/>
      <c r="H1461" s="18"/>
      <c r="I1461" s="18"/>
      <c r="J1461" s="18"/>
      <c r="K1461" s="18"/>
      <c r="L1461" s="18"/>
      <c r="M1461" s="18"/>
      <c r="N1461" s="18">
        <v>0</v>
      </c>
    </row>
    <row r="1462" spans="1:14">
      <c r="A1462" s="4" t="s">
        <v>1064</v>
      </c>
      <c r="B1462" s="18"/>
      <c r="C1462" s="18"/>
      <c r="D1462" s="18"/>
      <c r="E1462" s="18">
        <v>0</v>
      </c>
      <c r="F1462" s="18"/>
      <c r="G1462" s="18"/>
      <c r="H1462" s="18"/>
      <c r="I1462" s="18"/>
      <c r="J1462" s="18"/>
      <c r="K1462" s="18"/>
      <c r="L1462" s="18"/>
      <c r="M1462" s="18"/>
      <c r="N1462" s="18">
        <v>0</v>
      </c>
    </row>
    <row r="1463" spans="1:14">
      <c r="A1463" s="4">
        <v>1928374</v>
      </c>
      <c r="B1463" s="18"/>
      <c r="C1463" s="18"/>
      <c r="D1463" s="18"/>
      <c r="E1463" s="18"/>
      <c r="F1463" s="18"/>
      <c r="G1463" s="18"/>
      <c r="H1463" s="18"/>
      <c r="I1463" s="18"/>
      <c r="J1463" s="18"/>
      <c r="K1463" s="18"/>
      <c r="L1463" s="18"/>
      <c r="M1463" s="18"/>
      <c r="N1463" s="18"/>
    </row>
    <row r="1464" spans="1:14">
      <c r="A1464" s="19">
        <v>1100000</v>
      </c>
      <c r="B1464" s="18"/>
      <c r="C1464" s="18"/>
      <c r="D1464" s="18"/>
      <c r="E1464" s="18"/>
      <c r="F1464" s="18"/>
      <c r="G1464" s="18"/>
      <c r="H1464" s="18"/>
      <c r="I1464" s="18"/>
      <c r="J1464" s="18"/>
      <c r="K1464" s="18"/>
      <c r="L1464" s="18"/>
      <c r="M1464" s="18"/>
      <c r="N1464" s="18"/>
    </row>
    <row r="1465" spans="1:14">
      <c r="A1465" s="347">
        <v>3865450</v>
      </c>
      <c r="B1465" s="18"/>
      <c r="C1465" s="18"/>
      <c r="D1465" s="18"/>
      <c r="E1465" s="18"/>
      <c r="F1465" s="18"/>
      <c r="G1465" s="18"/>
      <c r="H1465" s="18"/>
      <c r="I1465" s="18"/>
      <c r="J1465" s="18"/>
      <c r="K1465" s="18"/>
      <c r="L1465" s="18"/>
      <c r="M1465" s="18"/>
      <c r="N1465" s="18"/>
    </row>
    <row r="1466" spans="1:14">
      <c r="A1466" s="489">
        <v>0</v>
      </c>
      <c r="B1466" s="18"/>
      <c r="C1466" s="18"/>
      <c r="D1466" s="18"/>
      <c r="E1466" s="18"/>
      <c r="F1466" s="18"/>
      <c r="G1466" s="18"/>
      <c r="H1466" s="18"/>
      <c r="I1466" s="18"/>
      <c r="J1466" s="18"/>
      <c r="K1466" s="18"/>
      <c r="L1466" s="18"/>
      <c r="M1466" s="18"/>
      <c r="N1466" s="18"/>
    </row>
    <row r="1467" spans="1:14">
      <c r="A1467" s="753">
        <v>0</v>
      </c>
      <c r="B1467" s="18"/>
      <c r="C1467" s="18"/>
      <c r="D1467" s="18"/>
      <c r="E1467" s="18"/>
      <c r="F1467" s="18"/>
      <c r="G1467" s="18"/>
      <c r="H1467" s="18"/>
      <c r="I1467" s="18"/>
      <c r="J1467" s="18"/>
      <c r="K1467" s="18"/>
      <c r="L1467" s="18"/>
      <c r="M1467" s="18"/>
      <c r="N1467" s="18"/>
    </row>
    <row r="1468" spans="1:14">
      <c r="A1468" s="754" t="s">
        <v>898</v>
      </c>
      <c r="B1468" s="18"/>
      <c r="C1468" s="18"/>
      <c r="D1468" s="18"/>
      <c r="E1468" s="18"/>
      <c r="F1468" s="18"/>
      <c r="G1468" s="18">
        <v>1928374</v>
      </c>
      <c r="H1468" s="18"/>
      <c r="I1468" s="18"/>
      <c r="J1468" s="18"/>
      <c r="K1468" s="18"/>
      <c r="L1468" s="18"/>
      <c r="M1468" s="18"/>
      <c r="N1468" s="18">
        <v>1928374</v>
      </c>
    </row>
    <row r="1469" spans="1:14">
      <c r="A1469" s="754" t="s">
        <v>901</v>
      </c>
      <c r="B1469" s="18"/>
      <c r="C1469" s="18"/>
      <c r="D1469" s="18"/>
      <c r="E1469" s="18"/>
      <c r="F1469" s="18"/>
      <c r="G1469" s="18">
        <v>3865450</v>
      </c>
      <c r="H1469" s="18"/>
      <c r="I1469" s="18"/>
      <c r="J1469" s="18"/>
      <c r="K1469" s="18"/>
      <c r="L1469" s="18"/>
      <c r="M1469" s="18"/>
      <c r="N1469" s="18">
        <v>3865450</v>
      </c>
    </row>
    <row r="1470" spans="1:14">
      <c r="A1470" s="754" t="s">
        <v>903</v>
      </c>
      <c r="B1470" s="18"/>
      <c r="C1470" s="18"/>
      <c r="D1470" s="18"/>
      <c r="E1470" s="18"/>
      <c r="F1470" s="18"/>
      <c r="G1470" s="18">
        <v>1100000</v>
      </c>
      <c r="H1470" s="18"/>
      <c r="I1470" s="18"/>
      <c r="J1470" s="18"/>
      <c r="K1470" s="18"/>
      <c r="L1470" s="18"/>
      <c r="M1470" s="18"/>
      <c r="N1470" s="18">
        <v>1100000</v>
      </c>
    </row>
    <row r="1471" spans="1:14">
      <c r="A1471" s="754" t="s">
        <v>905</v>
      </c>
      <c r="B1471" s="18"/>
      <c r="C1471" s="18"/>
      <c r="D1471" s="18"/>
      <c r="E1471" s="18"/>
      <c r="F1471" s="18"/>
      <c r="G1471" s="18">
        <v>0</v>
      </c>
      <c r="H1471" s="18"/>
      <c r="I1471" s="18"/>
      <c r="J1471" s="18"/>
      <c r="K1471" s="18"/>
      <c r="L1471" s="18"/>
      <c r="M1471" s="18"/>
      <c r="N1471" s="18">
        <v>0</v>
      </c>
    </row>
    <row r="1472" spans="1:14">
      <c r="A1472" s="754" t="s">
        <v>174</v>
      </c>
      <c r="B1472" s="18"/>
      <c r="C1472" s="18"/>
      <c r="D1472" s="18"/>
      <c r="E1472" s="18"/>
      <c r="F1472" s="18"/>
      <c r="G1472" s="18">
        <v>0</v>
      </c>
      <c r="H1472" s="18"/>
      <c r="I1472" s="18"/>
      <c r="J1472" s="18"/>
      <c r="K1472" s="18"/>
      <c r="L1472" s="18"/>
      <c r="M1472" s="18"/>
      <c r="N1472" s="18">
        <v>0</v>
      </c>
    </row>
    <row r="1473" spans="1:14">
      <c r="A1473" s="489" t="s">
        <v>1755</v>
      </c>
      <c r="B1473" s="18"/>
      <c r="C1473" s="18"/>
      <c r="D1473" s="18"/>
      <c r="E1473" s="18"/>
      <c r="F1473" s="18"/>
      <c r="G1473" s="18">
        <v>1928374</v>
      </c>
      <c r="H1473" s="18"/>
      <c r="I1473" s="18"/>
      <c r="J1473" s="18"/>
      <c r="K1473" s="18"/>
      <c r="L1473" s="18"/>
      <c r="M1473" s="18"/>
      <c r="N1473" s="18">
        <v>1928374</v>
      </c>
    </row>
    <row r="1474" spans="1:14">
      <c r="A1474" s="489" t="s">
        <v>1545</v>
      </c>
      <c r="B1474" s="18"/>
      <c r="C1474" s="18"/>
      <c r="D1474" s="18"/>
      <c r="E1474" s="18"/>
      <c r="F1474" s="18"/>
      <c r="G1474" s="18">
        <v>3865450</v>
      </c>
      <c r="H1474" s="18"/>
      <c r="I1474" s="18"/>
      <c r="J1474" s="18"/>
      <c r="K1474" s="18"/>
      <c r="L1474" s="18"/>
      <c r="M1474" s="18"/>
      <c r="N1474" s="18">
        <v>3865450</v>
      </c>
    </row>
    <row r="1475" spans="1:14">
      <c r="A1475" s="489" t="s">
        <v>1335</v>
      </c>
      <c r="B1475" s="18"/>
      <c r="C1475" s="18"/>
      <c r="D1475" s="18"/>
      <c r="E1475" s="18"/>
      <c r="F1475" s="18"/>
      <c r="G1475" s="18">
        <v>1100000</v>
      </c>
      <c r="H1475" s="18"/>
      <c r="I1475" s="18"/>
      <c r="J1475" s="18"/>
      <c r="K1475" s="18"/>
      <c r="L1475" s="18"/>
      <c r="M1475" s="18"/>
      <c r="N1475" s="18">
        <v>1100000</v>
      </c>
    </row>
    <row r="1476" spans="1:14">
      <c r="A1476" s="489" t="s">
        <v>1125</v>
      </c>
      <c r="B1476" s="18"/>
      <c r="C1476" s="18"/>
      <c r="D1476" s="18"/>
      <c r="E1476" s="18"/>
      <c r="F1476" s="18"/>
      <c r="G1476" s="18">
        <v>0</v>
      </c>
      <c r="H1476" s="18"/>
      <c r="I1476" s="18"/>
      <c r="J1476" s="18"/>
      <c r="K1476" s="18"/>
      <c r="L1476" s="18"/>
      <c r="M1476" s="18"/>
      <c r="N1476" s="18">
        <v>0</v>
      </c>
    </row>
    <row r="1477" spans="1:14">
      <c r="A1477" s="489" t="s">
        <v>915</v>
      </c>
      <c r="B1477" s="18"/>
      <c r="C1477" s="18"/>
      <c r="D1477" s="18"/>
      <c r="E1477" s="18"/>
      <c r="F1477" s="18"/>
      <c r="G1477" s="18">
        <v>0</v>
      </c>
      <c r="H1477" s="18"/>
      <c r="I1477" s="18"/>
      <c r="J1477" s="18"/>
      <c r="K1477" s="18"/>
      <c r="L1477" s="18"/>
      <c r="M1477" s="18"/>
      <c r="N1477" s="18">
        <v>0</v>
      </c>
    </row>
    <row r="1478" spans="1:14">
      <c r="A1478" s="347" t="s">
        <v>1905</v>
      </c>
      <c r="B1478" s="18"/>
      <c r="C1478" s="18"/>
      <c r="D1478" s="18"/>
      <c r="E1478" s="18"/>
      <c r="F1478" s="18"/>
      <c r="G1478" s="18">
        <v>1928374</v>
      </c>
      <c r="H1478" s="18"/>
      <c r="I1478" s="18"/>
      <c r="J1478" s="18"/>
      <c r="K1478" s="18"/>
      <c r="L1478" s="18"/>
      <c r="M1478" s="18"/>
      <c r="N1478" s="18">
        <v>1928374</v>
      </c>
    </row>
    <row r="1479" spans="1:14">
      <c r="A1479" s="347" t="s">
        <v>1695</v>
      </c>
      <c r="B1479" s="18"/>
      <c r="C1479" s="18"/>
      <c r="D1479" s="18"/>
      <c r="E1479" s="18"/>
      <c r="F1479" s="18"/>
      <c r="G1479" s="18">
        <v>3865450</v>
      </c>
      <c r="H1479" s="18"/>
      <c r="I1479" s="18"/>
      <c r="J1479" s="18"/>
      <c r="K1479" s="18"/>
      <c r="L1479" s="18"/>
      <c r="M1479" s="18"/>
      <c r="N1479" s="18">
        <v>3865450</v>
      </c>
    </row>
    <row r="1480" spans="1:14">
      <c r="A1480" s="347" t="s">
        <v>1485</v>
      </c>
      <c r="B1480" s="18"/>
      <c r="C1480" s="18"/>
      <c r="D1480" s="18"/>
      <c r="E1480" s="18"/>
      <c r="F1480" s="18"/>
      <c r="G1480" s="18">
        <v>1100000</v>
      </c>
      <c r="H1480" s="18"/>
      <c r="I1480" s="18"/>
      <c r="J1480" s="18"/>
      <c r="K1480" s="18"/>
      <c r="L1480" s="18"/>
      <c r="M1480" s="18"/>
      <c r="N1480" s="18">
        <v>1100000</v>
      </c>
    </row>
    <row r="1481" spans="1:14">
      <c r="A1481" s="347" t="s">
        <v>1275</v>
      </c>
      <c r="B1481" s="18"/>
      <c r="C1481" s="18"/>
      <c r="D1481" s="18"/>
      <c r="E1481" s="18"/>
      <c r="F1481" s="18"/>
      <c r="G1481" s="18">
        <v>0</v>
      </c>
      <c r="H1481" s="18"/>
      <c r="I1481" s="18"/>
      <c r="J1481" s="18"/>
      <c r="K1481" s="18"/>
      <c r="L1481" s="18"/>
      <c r="M1481" s="18"/>
      <c r="N1481" s="18">
        <v>0</v>
      </c>
    </row>
    <row r="1482" spans="1:14">
      <c r="A1482" s="347" t="s">
        <v>1065</v>
      </c>
      <c r="B1482" s="18"/>
      <c r="C1482" s="18"/>
      <c r="D1482" s="18"/>
      <c r="E1482" s="18"/>
      <c r="F1482" s="18"/>
      <c r="G1482" s="18">
        <v>0</v>
      </c>
      <c r="H1482" s="18"/>
      <c r="I1482" s="18"/>
      <c r="J1482" s="18"/>
      <c r="K1482" s="18"/>
      <c r="L1482" s="18"/>
      <c r="M1482" s="18"/>
      <c r="N1482" s="18">
        <v>0</v>
      </c>
    </row>
    <row r="1483" spans="1:14">
      <c r="A1483" s="19" t="s">
        <v>1906</v>
      </c>
      <c r="B1483" s="18"/>
      <c r="C1483" s="18"/>
      <c r="D1483" s="18"/>
      <c r="E1483" s="18"/>
      <c r="F1483" s="18"/>
      <c r="G1483" s="18">
        <v>1928374</v>
      </c>
      <c r="H1483" s="18"/>
      <c r="I1483" s="18"/>
      <c r="J1483" s="18"/>
      <c r="K1483" s="18"/>
      <c r="L1483" s="18"/>
      <c r="M1483" s="18"/>
      <c r="N1483" s="18">
        <v>1928374</v>
      </c>
    </row>
    <row r="1484" spans="1:14">
      <c r="A1484" s="19" t="s">
        <v>1696</v>
      </c>
      <c r="B1484" s="18"/>
      <c r="C1484" s="18"/>
      <c r="D1484" s="18"/>
      <c r="E1484" s="18"/>
      <c r="F1484" s="18"/>
      <c r="G1484" s="18">
        <v>3865450</v>
      </c>
      <c r="H1484" s="18"/>
      <c r="I1484" s="18"/>
      <c r="J1484" s="18"/>
      <c r="K1484" s="18"/>
      <c r="L1484" s="18"/>
      <c r="M1484" s="18"/>
      <c r="N1484" s="18">
        <v>3865450</v>
      </c>
    </row>
    <row r="1485" spans="1:14">
      <c r="A1485" s="19" t="s">
        <v>1486</v>
      </c>
      <c r="B1485" s="18"/>
      <c r="C1485" s="18"/>
      <c r="D1485" s="18"/>
      <c r="E1485" s="18"/>
      <c r="F1485" s="18"/>
      <c r="G1485" s="18">
        <v>1100000</v>
      </c>
      <c r="H1485" s="18"/>
      <c r="I1485" s="18"/>
      <c r="J1485" s="18"/>
      <c r="K1485" s="18"/>
      <c r="L1485" s="18"/>
      <c r="M1485" s="18"/>
      <c r="N1485" s="18">
        <v>1100000</v>
      </c>
    </row>
    <row r="1486" spans="1:14">
      <c r="A1486" s="19" t="s">
        <v>1276</v>
      </c>
      <c r="B1486" s="18"/>
      <c r="C1486" s="18"/>
      <c r="D1486" s="18"/>
      <c r="E1486" s="18"/>
      <c r="F1486" s="18"/>
      <c r="G1486" s="18">
        <v>0</v>
      </c>
      <c r="H1486" s="18"/>
      <c r="I1486" s="18"/>
      <c r="J1486" s="18"/>
      <c r="K1486" s="18"/>
      <c r="L1486" s="18"/>
      <c r="M1486" s="18"/>
      <c r="N1486" s="18">
        <v>0</v>
      </c>
    </row>
    <row r="1487" spans="1:14">
      <c r="A1487" s="19" t="s">
        <v>1066</v>
      </c>
      <c r="B1487" s="18"/>
      <c r="C1487" s="18"/>
      <c r="D1487" s="18"/>
      <c r="E1487" s="18"/>
      <c r="F1487" s="18"/>
      <c r="G1487" s="18">
        <v>0</v>
      </c>
      <c r="H1487" s="18"/>
      <c r="I1487" s="18"/>
      <c r="J1487" s="18"/>
      <c r="K1487" s="18"/>
      <c r="L1487" s="18"/>
      <c r="M1487" s="18"/>
      <c r="N1487" s="18">
        <v>0</v>
      </c>
    </row>
    <row r="1488" spans="1:14">
      <c r="A1488" s="4" t="s">
        <v>1907</v>
      </c>
      <c r="B1488" s="18"/>
      <c r="C1488" s="18"/>
      <c r="D1488" s="18"/>
      <c r="E1488" s="18"/>
      <c r="F1488" s="18"/>
      <c r="G1488" s="18">
        <v>1928374</v>
      </c>
      <c r="H1488" s="18"/>
      <c r="I1488" s="18"/>
      <c r="J1488" s="18"/>
      <c r="K1488" s="18"/>
      <c r="L1488" s="18"/>
      <c r="M1488" s="18"/>
      <c r="N1488" s="18">
        <v>1928374</v>
      </c>
    </row>
    <row r="1489" spans="1:14">
      <c r="A1489" s="4" t="s">
        <v>1697</v>
      </c>
      <c r="B1489" s="18"/>
      <c r="C1489" s="18"/>
      <c r="D1489" s="18"/>
      <c r="E1489" s="18"/>
      <c r="F1489" s="18"/>
      <c r="G1489" s="18">
        <v>3865450</v>
      </c>
      <c r="H1489" s="18"/>
      <c r="I1489" s="18"/>
      <c r="J1489" s="18"/>
      <c r="K1489" s="18"/>
      <c r="L1489" s="18"/>
      <c r="M1489" s="18"/>
      <c r="N1489" s="18">
        <v>3865450</v>
      </c>
    </row>
    <row r="1490" spans="1:14">
      <c r="A1490" s="4" t="s">
        <v>1487</v>
      </c>
      <c r="B1490" s="18"/>
      <c r="C1490" s="18"/>
      <c r="D1490" s="18"/>
      <c r="E1490" s="18"/>
      <c r="F1490" s="18"/>
      <c r="G1490" s="18">
        <v>1100000</v>
      </c>
      <c r="H1490" s="18"/>
      <c r="I1490" s="18"/>
      <c r="J1490" s="18"/>
      <c r="K1490" s="18"/>
      <c r="L1490" s="18"/>
      <c r="M1490" s="18"/>
      <c r="N1490" s="18">
        <v>1100000</v>
      </c>
    </row>
    <row r="1491" spans="1:14">
      <c r="A1491" s="4" t="s">
        <v>1277</v>
      </c>
      <c r="B1491" s="18"/>
      <c r="C1491" s="18"/>
      <c r="D1491" s="18"/>
      <c r="E1491" s="18"/>
      <c r="F1491" s="18"/>
      <c r="G1491" s="18">
        <v>0</v>
      </c>
      <c r="H1491" s="18"/>
      <c r="I1491" s="18"/>
      <c r="J1491" s="18"/>
      <c r="K1491" s="18"/>
      <c r="L1491" s="18"/>
      <c r="M1491" s="18"/>
      <c r="N1491" s="18">
        <v>0</v>
      </c>
    </row>
    <row r="1492" spans="1:14">
      <c r="A1492" s="4" t="s">
        <v>1067</v>
      </c>
      <c r="B1492" s="18"/>
      <c r="C1492" s="18"/>
      <c r="D1492" s="18"/>
      <c r="E1492" s="18"/>
      <c r="F1492" s="18"/>
      <c r="G1492" s="18">
        <v>0</v>
      </c>
      <c r="H1492" s="18"/>
      <c r="I1492" s="18"/>
      <c r="J1492" s="18"/>
      <c r="K1492" s="18"/>
      <c r="L1492" s="18"/>
      <c r="M1492" s="18"/>
      <c r="N1492" s="18">
        <v>0</v>
      </c>
    </row>
    <row r="1493" spans="1:14">
      <c r="A1493" s="4">
        <v>2234701</v>
      </c>
      <c r="B1493" s="18"/>
      <c r="C1493" s="18"/>
      <c r="D1493" s="18"/>
      <c r="E1493" s="18"/>
      <c r="F1493" s="18"/>
      <c r="G1493" s="18"/>
      <c r="H1493" s="18"/>
      <c r="I1493" s="18"/>
      <c r="J1493" s="18"/>
      <c r="K1493" s="18"/>
      <c r="L1493" s="18"/>
      <c r="M1493" s="18"/>
      <c r="N1493" s="18"/>
    </row>
    <row r="1494" spans="1:14">
      <c r="A1494" s="19">
        <v>1118000</v>
      </c>
      <c r="B1494" s="18"/>
      <c r="C1494" s="18"/>
      <c r="D1494" s="18"/>
      <c r="E1494" s="18"/>
      <c r="F1494" s="18"/>
      <c r="G1494" s="18"/>
      <c r="H1494" s="18"/>
      <c r="I1494" s="18"/>
      <c r="J1494" s="18"/>
      <c r="K1494" s="18"/>
      <c r="L1494" s="18"/>
      <c r="M1494" s="18"/>
      <c r="N1494" s="18"/>
    </row>
    <row r="1495" spans="1:14">
      <c r="A1495" s="347">
        <v>4540907.43</v>
      </c>
      <c r="B1495" s="18"/>
      <c r="C1495" s="18"/>
      <c r="D1495" s="18"/>
      <c r="E1495" s="18"/>
      <c r="F1495" s="18"/>
      <c r="G1495" s="18"/>
      <c r="H1495" s="18"/>
      <c r="I1495" s="18"/>
      <c r="J1495" s="18"/>
      <c r="K1495" s="18"/>
      <c r="L1495" s="18"/>
      <c r="M1495" s="18"/>
      <c r="N1495" s="18"/>
    </row>
    <row r="1496" spans="1:14">
      <c r="A1496" s="489">
        <v>0</v>
      </c>
      <c r="B1496" s="18"/>
      <c r="C1496" s="18"/>
      <c r="D1496" s="18"/>
      <c r="E1496" s="18"/>
      <c r="F1496" s="18"/>
      <c r="G1496" s="18"/>
      <c r="H1496" s="18"/>
      <c r="I1496" s="18"/>
      <c r="J1496" s="18"/>
      <c r="K1496" s="18"/>
      <c r="L1496" s="18"/>
      <c r="M1496" s="18"/>
      <c r="N1496" s="18"/>
    </row>
    <row r="1497" spans="1:14">
      <c r="A1497" s="753">
        <v>0</v>
      </c>
      <c r="B1497" s="18"/>
      <c r="C1497" s="18"/>
      <c r="D1497" s="18"/>
      <c r="E1497" s="18"/>
      <c r="F1497" s="18"/>
      <c r="G1497" s="18"/>
      <c r="H1497" s="18"/>
      <c r="I1497" s="18"/>
      <c r="J1497" s="18"/>
      <c r="K1497" s="18"/>
      <c r="L1497" s="18"/>
      <c r="M1497" s="18"/>
      <c r="N1497" s="18"/>
    </row>
    <row r="1498" spans="1:14">
      <c r="A1498" s="754" t="s">
        <v>898</v>
      </c>
      <c r="B1498" s="18"/>
      <c r="C1498" s="18"/>
      <c r="D1498" s="18"/>
      <c r="E1498" s="18"/>
      <c r="F1498" s="18">
        <v>2234701</v>
      </c>
      <c r="G1498" s="18"/>
      <c r="H1498" s="18"/>
      <c r="I1498" s="18"/>
      <c r="J1498" s="18"/>
      <c r="K1498" s="18"/>
      <c r="L1498" s="18"/>
      <c r="M1498" s="18"/>
      <c r="N1498" s="18">
        <v>2234701</v>
      </c>
    </row>
    <row r="1499" spans="1:14">
      <c r="A1499" s="754" t="s">
        <v>901</v>
      </c>
      <c r="B1499" s="18"/>
      <c r="C1499" s="18"/>
      <c r="D1499" s="18"/>
      <c r="E1499" s="18"/>
      <c r="F1499" s="18">
        <v>4540907.43</v>
      </c>
      <c r="G1499" s="18"/>
      <c r="H1499" s="18"/>
      <c r="I1499" s="18"/>
      <c r="J1499" s="18"/>
      <c r="K1499" s="18"/>
      <c r="L1499" s="18"/>
      <c r="M1499" s="18"/>
      <c r="N1499" s="18">
        <v>4540907.43</v>
      </c>
    </row>
    <row r="1500" spans="1:14">
      <c r="A1500" s="754" t="s">
        <v>903</v>
      </c>
      <c r="B1500" s="18"/>
      <c r="C1500" s="18"/>
      <c r="D1500" s="18"/>
      <c r="E1500" s="18"/>
      <c r="F1500" s="18">
        <v>1118000</v>
      </c>
      <c r="G1500" s="18"/>
      <c r="H1500" s="18"/>
      <c r="I1500" s="18"/>
      <c r="J1500" s="18"/>
      <c r="K1500" s="18"/>
      <c r="L1500" s="18"/>
      <c r="M1500" s="18"/>
      <c r="N1500" s="18">
        <v>1118000</v>
      </c>
    </row>
    <row r="1501" spans="1:14">
      <c r="A1501" s="754" t="s">
        <v>905</v>
      </c>
      <c r="B1501" s="18"/>
      <c r="C1501" s="18"/>
      <c r="D1501" s="18"/>
      <c r="E1501" s="18"/>
      <c r="F1501" s="18">
        <v>0</v>
      </c>
      <c r="G1501" s="18"/>
      <c r="H1501" s="18"/>
      <c r="I1501" s="18"/>
      <c r="J1501" s="18"/>
      <c r="K1501" s="18"/>
      <c r="L1501" s="18"/>
      <c r="M1501" s="18"/>
      <c r="N1501" s="18">
        <v>0</v>
      </c>
    </row>
    <row r="1502" spans="1:14">
      <c r="A1502" s="754" t="s">
        <v>174</v>
      </c>
      <c r="B1502" s="18"/>
      <c r="C1502" s="18"/>
      <c r="D1502" s="18"/>
      <c r="E1502" s="18"/>
      <c r="F1502" s="18">
        <v>0</v>
      </c>
      <c r="G1502" s="18"/>
      <c r="H1502" s="18"/>
      <c r="I1502" s="18"/>
      <c r="J1502" s="18"/>
      <c r="K1502" s="18"/>
      <c r="L1502" s="18"/>
      <c r="M1502" s="18"/>
      <c r="N1502" s="18">
        <v>0</v>
      </c>
    </row>
    <row r="1503" spans="1:14">
      <c r="A1503" s="489" t="s">
        <v>1755</v>
      </c>
      <c r="B1503" s="18"/>
      <c r="C1503" s="18"/>
      <c r="D1503" s="18"/>
      <c r="E1503" s="18"/>
      <c r="F1503" s="18">
        <v>2234701</v>
      </c>
      <c r="G1503" s="18"/>
      <c r="H1503" s="18"/>
      <c r="I1503" s="18"/>
      <c r="J1503" s="18"/>
      <c r="K1503" s="18"/>
      <c r="L1503" s="18"/>
      <c r="M1503" s="18"/>
      <c r="N1503" s="18">
        <v>2234701</v>
      </c>
    </row>
    <row r="1504" spans="1:14">
      <c r="A1504" s="489" t="s">
        <v>1545</v>
      </c>
      <c r="B1504" s="18"/>
      <c r="C1504" s="18"/>
      <c r="D1504" s="18"/>
      <c r="E1504" s="18"/>
      <c r="F1504" s="18">
        <v>4540907.43</v>
      </c>
      <c r="G1504" s="18"/>
      <c r="H1504" s="18"/>
      <c r="I1504" s="18"/>
      <c r="J1504" s="18"/>
      <c r="K1504" s="18"/>
      <c r="L1504" s="18"/>
      <c r="M1504" s="18"/>
      <c r="N1504" s="18">
        <v>4540907.43</v>
      </c>
    </row>
    <row r="1505" spans="1:14">
      <c r="A1505" s="489" t="s">
        <v>1335</v>
      </c>
      <c r="B1505" s="18"/>
      <c r="C1505" s="18"/>
      <c r="D1505" s="18"/>
      <c r="E1505" s="18"/>
      <c r="F1505" s="18">
        <v>1118000</v>
      </c>
      <c r="G1505" s="18"/>
      <c r="H1505" s="18"/>
      <c r="I1505" s="18"/>
      <c r="J1505" s="18"/>
      <c r="K1505" s="18"/>
      <c r="L1505" s="18"/>
      <c r="M1505" s="18"/>
      <c r="N1505" s="18">
        <v>1118000</v>
      </c>
    </row>
    <row r="1506" spans="1:14">
      <c r="A1506" s="489" t="s">
        <v>1125</v>
      </c>
      <c r="B1506" s="18"/>
      <c r="C1506" s="18"/>
      <c r="D1506" s="18"/>
      <c r="E1506" s="18"/>
      <c r="F1506" s="18">
        <v>0</v>
      </c>
      <c r="G1506" s="18"/>
      <c r="H1506" s="18"/>
      <c r="I1506" s="18"/>
      <c r="J1506" s="18"/>
      <c r="K1506" s="18"/>
      <c r="L1506" s="18"/>
      <c r="M1506" s="18"/>
      <c r="N1506" s="18">
        <v>0</v>
      </c>
    </row>
    <row r="1507" spans="1:14">
      <c r="A1507" s="489" t="s">
        <v>915</v>
      </c>
      <c r="B1507" s="18"/>
      <c r="C1507" s="18"/>
      <c r="D1507" s="18"/>
      <c r="E1507" s="18"/>
      <c r="F1507" s="18">
        <v>0</v>
      </c>
      <c r="G1507" s="18"/>
      <c r="H1507" s="18"/>
      <c r="I1507" s="18"/>
      <c r="J1507" s="18"/>
      <c r="K1507" s="18"/>
      <c r="L1507" s="18"/>
      <c r="M1507" s="18"/>
      <c r="N1507" s="18">
        <v>0</v>
      </c>
    </row>
    <row r="1508" spans="1:14">
      <c r="A1508" s="347" t="s">
        <v>1908</v>
      </c>
      <c r="B1508" s="18"/>
      <c r="C1508" s="18"/>
      <c r="D1508" s="18"/>
      <c r="E1508" s="18"/>
      <c r="F1508" s="18">
        <v>2234701</v>
      </c>
      <c r="G1508" s="18"/>
      <c r="H1508" s="18"/>
      <c r="I1508" s="18"/>
      <c r="J1508" s="18"/>
      <c r="K1508" s="18"/>
      <c r="L1508" s="18"/>
      <c r="M1508" s="18"/>
      <c r="N1508" s="18">
        <v>2234701</v>
      </c>
    </row>
    <row r="1509" spans="1:14">
      <c r="A1509" s="347" t="s">
        <v>1698</v>
      </c>
      <c r="B1509" s="18"/>
      <c r="C1509" s="18"/>
      <c r="D1509" s="18"/>
      <c r="E1509" s="18"/>
      <c r="F1509" s="18">
        <v>4540907.43</v>
      </c>
      <c r="G1509" s="18"/>
      <c r="H1509" s="18"/>
      <c r="I1509" s="18"/>
      <c r="J1509" s="18"/>
      <c r="K1509" s="18"/>
      <c r="L1509" s="18"/>
      <c r="M1509" s="18"/>
      <c r="N1509" s="18">
        <v>4540907.43</v>
      </c>
    </row>
    <row r="1510" spans="1:14">
      <c r="A1510" s="347" t="s">
        <v>1488</v>
      </c>
      <c r="B1510" s="18"/>
      <c r="C1510" s="18"/>
      <c r="D1510" s="18"/>
      <c r="E1510" s="18"/>
      <c r="F1510" s="18">
        <v>1118000</v>
      </c>
      <c r="G1510" s="18"/>
      <c r="H1510" s="18"/>
      <c r="I1510" s="18"/>
      <c r="J1510" s="18"/>
      <c r="K1510" s="18"/>
      <c r="L1510" s="18"/>
      <c r="M1510" s="18"/>
      <c r="N1510" s="18">
        <v>1118000</v>
      </c>
    </row>
    <row r="1511" spans="1:14">
      <c r="A1511" s="347" t="s">
        <v>1278</v>
      </c>
      <c r="B1511" s="18"/>
      <c r="C1511" s="18"/>
      <c r="D1511" s="18"/>
      <c r="E1511" s="18"/>
      <c r="F1511" s="18">
        <v>0</v>
      </c>
      <c r="G1511" s="18"/>
      <c r="H1511" s="18"/>
      <c r="I1511" s="18"/>
      <c r="J1511" s="18"/>
      <c r="K1511" s="18"/>
      <c r="L1511" s="18"/>
      <c r="M1511" s="18"/>
      <c r="N1511" s="18">
        <v>0</v>
      </c>
    </row>
    <row r="1512" spans="1:14">
      <c r="A1512" s="347" t="s">
        <v>1068</v>
      </c>
      <c r="B1512" s="18"/>
      <c r="C1512" s="18"/>
      <c r="D1512" s="18"/>
      <c r="E1512" s="18"/>
      <c r="F1512" s="18">
        <v>0</v>
      </c>
      <c r="G1512" s="18"/>
      <c r="H1512" s="18"/>
      <c r="I1512" s="18"/>
      <c r="J1512" s="18"/>
      <c r="K1512" s="18"/>
      <c r="L1512" s="18"/>
      <c r="M1512" s="18"/>
      <c r="N1512" s="18">
        <v>0</v>
      </c>
    </row>
    <row r="1513" spans="1:14">
      <c r="A1513" s="19" t="s">
        <v>1909</v>
      </c>
      <c r="B1513" s="18"/>
      <c r="C1513" s="18"/>
      <c r="D1513" s="18"/>
      <c r="E1513" s="18"/>
      <c r="F1513" s="18">
        <v>2234701</v>
      </c>
      <c r="G1513" s="18"/>
      <c r="H1513" s="18"/>
      <c r="I1513" s="18"/>
      <c r="J1513" s="18"/>
      <c r="K1513" s="18"/>
      <c r="L1513" s="18"/>
      <c r="M1513" s="18"/>
      <c r="N1513" s="18">
        <v>2234701</v>
      </c>
    </row>
    <row r="1514" spans="1:14">
      <c r="A1514" s="19" t="s">
        <v>1699</v>
      </c>
      <c r="B1514" s="18"/>
      <c r="C1514" s="18"/>
      <c r="D1514" s="18"/>
      <c r="E1514" s="18"/>
      <c r="F1514" s="18">
        <v>4540907.43</v>
      </c>
      <c r="G1514" s="18"/>
      <c r="H1514" s="18"/>
      <c r="I1514" s="18"/>
      <c r="J1514" s="18"/>
      <c r="K1514" s="18"/>
      <c r="L1514" s="18"/>
      <c r="M1514" s="18"/>
      <c r="N1514" s="18">
        <v>4540907.43</v>
      </c>
    </row>
    <row r="1515" spans="1:14">
      <c r="A1515" s="19" t="s">
        <v>1489</v>
      </c>
      <c r="B1515" s="18"/>
      <c r="C1515" s="18"/>
      <c r="D1515" s="18"/>
      <c r="E1515" s="18"/>
      <c r="F1515" s="18">
        <v>1118000</v>
      </c>
      <c r="G1515" s="18"/>
      <c r="H1515" s="18"/>
      <c r="I1515" s="18"/>
      <c r="J1515" s="18"/>
      <c r="K1515" s="18"/>
      <c r="L1515" s="18"/>
      <c r="M1515" s="18"/>
      <c r="N1515" s="18">
        <v>1118000</v>
      </c>
    </row>
    <row r="1516" spans="1:14">
      <c r="A1516" s="19" t="s">
        <v>1279</v>
      </c>
      <c r="B1516" s="18"/>
      <c r="C1516" s="18"/>
      <c r="D1516" s="18"/>
      <c r="E1516" s="18"/>
      <c r="F1516" s="18">
        <v>0</v>
      </c>
      <c r="G1516" s="18"/>
      <c r="H1516" s="18"/>
      <c r="I1516" s="18"/>
      <c r="J1516" s="18"/>
      <c r="K1516" s="18"/>
      <c r="L1516" s="18"/>
      <c r="M1516" s="18"/>
      <c r="N1516" s="18">
        <v>0</v>
      </c>
    </row>
    <row r="1517" spans="1:14">
      <c r="A1517" s="19" t="s">
        <v>1069</v>
      </c>
      <c r="B1517" s="18"/>
      <c r="C1517" s="18"/>
      <c r="D1517" s="18"/>
      <c r="E1517" s="18"/>
      <c r="F1517" s="18">
        <v>0</v>
      </c>
      <c r="G1517" s="18"/>
      <c r="H1517" s="18"/>
      <c r="I1517" s="18"/>
      <c r="J1517" s="18"/>
      <c r="K1517" s="18"/>
      <c r="L1517" s="18"/>
      <c r="M1517" s="18"/>
      <c r="N1517" s="18">
        <v>0</v>
      </c>
    </row>
    <row r="1518" spans="1:14">
      <c r="A1518" s="4" t="s">
        <v>1910</v>
      </c>
      <c r="B1518" s="18"/>
      <c r="C1518" s="18"/>
      <c r="D1518" s="18"/>
      <c r="E1518" s="18"/>
      <c r="F1518" s="18">
        <v>2234701</v>
      </c>
      <c r="G1518" s="18"/>
      <c r="H1518" s="18"/>
      <c r="I1518" s="18"/>
      <c r="J1518" s="18"/>
      <c r="K1518" s="18"/>
      <c r="L1518" s="18"/>
      <c r="M1518" s="18"/>
      <c r="N1518" s="18">
        <v>2234701</v>
      </c>
    </row>
    <row r="1519" spans="1:14">
      <c r="A1519" s="4" t="s">
        <v>1700</v>
      </c>
      <c r="B1519" s="18"/>
      <c r="C1519" s="18"/>
      <c r="D1519" s="18"/>
      <c r="E1519" s="18"/>
      <c r="F1519" s="18">
        <v>4540907.43</v>
      </c>
      <c r="G1519" s="18"/>
      <c r="H1519" s="18"/>
      <c r="I1519" s="18"/>
      <c r="J1519" s="18"/>
      <c r="K1519" s="18"/>
      <c r="L1519" s="18"/>
      <c r="M1519" s="18"/>
      <c r="N1519" s="18">
        <v>4540907.43</v>
      </c>
    </row>
    <row r="1520" spans="1:14">
      <c r="A1520" s="4" t="s">
        <v>1490</v>
      </c>
      <c r="B1520" s="18"/>
      <c r="C1520" s="18"/>
      <c r="D1520" s="18"/>
      <c r="E1520" s="18"/>
      <c r="F1520" s="18">
        <v>1118000</v>
      </c>
      <c r="G1520" s="18"/>
      <c r="H1520" s="18"/>
      <c r="I1520" s="18"/>
      <c r="J1520" s="18"/>
      <c r="K1520" s="18"/>
      <c r="L1520" s="18"/>
      <c r="M1520" s="18"/>
      <c r="N1520" s="18">
        <v>1118000</v>
      </c>
    </row>
    <row r="1521" spans="1:14">
      <c r="A1521" s="4" t="s">
        <v>1280</v>
      </c>
      <c r="B1521" s="18"/>
      <c r="C1521" s="18"/>
      <c r="D1521" s="18"/>
      <c r="E1521" s="18"/>
      <c r="F1521" s="18">
        <v>0</v>
      </c>
      <c r="G1521" s="18"/>
      <c r="H1521" s="18"/>
      <c r="I1521" s="18"/>
      <c r="J1521" s="18"/>
      <c r="K1521" s="18"/>
      <c r="L1521" s="18"/>
      <c r="M1521" s="18"/>
      <c r="N1521" s="18">
        <v>0</v>
      </c>
    </row>
    <row r="1522" spans="1:14">
      <c r="A1522" s="4" t="s">
        <v>1070</v>
      </c>
      <c r="B1522" s="18"/>
      <c r="C1522" s="18"/>
      <c r="D1522" s="18"/>
      <c r="E1522" s="18"/>
      <c r="F1522" s="18">
        <v>0</v>
      </c>
      <c r="G1522" s="18"/>
      <c r="H1522" s="18"/>
      <c r="I1522" s="18"/>
      <c r="J1522" s="18"/>
      <c r="K1522" s="18"/>
      <c r="L1522" s="18"/>
      <c r="M1522" s="18"/>
      <c r="N1522" s="18">
        <v>0</v>
      </c>
    </row>
    <row r="1523" spans="1:14">
      <c r="A1523" s="4">
        <v>2271739</v>
      </c>
      <c r="B1523" s="18"/>
      <c r="C1523" s="18"/>
      <c r="D1523" s="18"/>
      <c r="E1523" s="18"/>
      <c r="F1523" s="18"/>
      <c r="G1523" s="18"/>
      <c r="H1523" s="18"/>
      <c r="I1523" s="18"/>
      <c r="J1523" s="18"/>
      <c r="K1523" s="18"/>
      <c r="L1523" s="18"/>
      <c r="M1523" s="18"/>
      <c r="N1523" s="18"/>
    </row>
    <row r="1524" spans="1:14">
      <c r="A1524" s="19">
        <v>660000</v>
      </c>
      <c r="B1524" s="18"/>
      <c r="C1524" s="18"/>
      <c r="D1524" s="18"/>
      <c r="E1524" s="18"/>
      <c r="F1524" s="18"/>
      <c r="G1524" s="18"/>
      <c r="H1524" s="18"/>
      <c r="I1524" s="18"/>
      <c r="J1524" s="18"/>
      <c r="K1524" s="18"/>
      <c r="L1524" s="18"/>
      <c r="M1524" s="18"/>
      <c r="N1524" s="18"/>
    </row>
    <row r="1525" spans="1:14">
      <c r="A1525" s="347">
        <v>3931799.2</v>
      </c>
      <c r="B1525" s="18"/>
      <c r="C1525" s="18"/>
      <c r="D1525" s="18"/>
      <c r="E1525" s="18"/>
      <c r="F1525" s="18"/>
      <c r="G1525" s="18"/>
      <c r="H1525" s="18"/>
      <c r="I1525" s="18"/>
      <c r="J1525" s="18"/>
      <c r="K1525" s="18"/>
      <c r="L1525" s="18"/>
      <c r="M1525" s="18"/>
      <c r="N1525" s="18"/>
    </row>
    <row r="1526" spans="1:14">
      <c r="A1526" s="489" t="s">
        <v>733</v>
      </c>
      <c r="B1526" s="18"/>
      <c r="C1526" s="18"/>
      <c r="D1526" s="18"/>
      <c r="E1526" s="18"/>
      <c r="F1526" s="18"/>
      <c r="G1526" s="18"/>
      <c r="H1526" s="18"/>
      <c r="I1526" s="18"/>
      <c r="J1526" s="18"/>
      <c r="K1526" s="18"/>
      <c r="L1526" s="18"/>
      <c r="M1526" s="18"/>
      <c r="N1526" s="18"/>
    </row>
    <row r="1527" spans="1:14">
      <c r="A1527" s="753" t="s">
        <v>733</v>
      </c>
      <c r="B1527" s="18"/>
      <c r="C1527" s="18"/>
      <c r="D1527" s="18"/>
      <c r="E1527" s="18"/>
      <c r="F1527" s="18"/>
      <c r="G1527" s="18"/>
      <c r="H1527" s="18"/>
      <c r="I1527" s="18"/>
      <c r="J1527" s="18"/>
      <c r="K1527" s="18"/>
      <c r="L1527" s="18"/>
      <c r="M1527" s="18"/>
      <c r="N1527" s="18"/>
    </row>
    <row r="1528" spans="1:14">
      <c r="A1528" s="754" t="s">
        <v>898</v>
      </c>
      <c r="B1528" s="18"/>
      <c r="C1528" s="18"/>
      <c r="D1528" s="18"/>
      <c r="E1528" s="18"/>
      <c r="F1528" s="18"/>
      <c r="G1528" s="18"/>
      <c r="H1528" s="18"/>
      <c r="I1528" s="18">
        <v>2271739</v>
      </c>
      <c r="J1528" s="18"/>
      <c r="K1528" s="18"/>
      <c r="L1528" s="18"/>
      <c r="M1528" s="18"/>
      <c r="N1528" s="18">
        <v>2271739</v>
      </c>
    </row>
    <row r="1529" spans="1:14">
      <c r="A1529" s="754" t="s">
        <v>901</v>
      </c>
      <c r="B1529" s="18"/>
      <c r="C1529" s="18"/>
      <c r="D1529" s="18"/>
      <c r="E1529" s="18"/>
      <c r="F1529" s="18"/>
      <c r="G1529" s="18"/>
      <c r="H1529" s="18"/>
      <c r="I1529" s="18">
        <v>3931799.2</v>
      </c>
      <c r="J1529" s="18"/>
      <c r="K1529" s="18"/>
      <c r="L1529" s="18"/>
      <c r="M1529" s="18"/>
      <c r="N1529" s="18">
        <v>3931799.2</v>
      </c>
    </row>
    <row r="1530" spans="1:14">
      <c r="A1530" s="754" t="s">
        <v>903</v>
      </c>
      <c r="B1530" s="18"/>
      <c r="C1530" s="18"/>
      <c r="D1530" s="18"/>
      <c r="E1530" s="18"/>
      <c r="F1530" s="18"/>
      <c r="G1530" s="18"/>
      <c r="H1530" s="18"/>
      <c r="I1530" s="18">
        <v>660000</v>
      </c>
      <c r="J1530" s="18"/>
      <c r="K1530" s="18"/>
      <c r="L1530" s="18"/>
      <c r="M1530" s="18"/>
      <c r="N1530" s="18">
        <v>660000</v>
      </c>
    </row>
    <row r="1531" spans="1:14">
      <c r="A1531" s="754" t="s">
        <v>905</v>
      </c>
      <c r="B1531" s="18"/>
      <c r="C1531" s="18"/>
      <c r="D1531" s="18"/>
      <c r="E1531" s="18"/>
      <c r="F1531" s="18"/>
      <c r="G1531" s="18"/>
      <c r="H1531" s="18"/>
      <c r="I1531" s="18"/>
      <c r="J1531" s="18"/>
      <c r="K1531" s="18"/>
      <c r="L1531" s="18"/>
      <c r="M1531" s="18"/>
      <c r="N1531" s="18"/>
    </row>
    <row r="1532" spans="1:14">
      <c r="A1532" s="754" t="s">
        <v>174</v>
      </c>
      <c r="B1532" s="18"/>
      <c r="C1532" s="18"/>
      <c r="D1532" s="18"/>
      <c r="E1532" s="18"/>
      <c r="F1532" s="18"/>
      <c r="G1532" s="18"/>
      <c r="H1532" s="18"/>
      <c r="I1532" s="18"/>
      <c r="J1532" s="18"/>
      <c r="K1532" s="18"/>
      <c r="L1532" s="18"/>
      <c r="M1532" s="18"/>
      <c r="N1532" s="18"/>
    </row>
    <row r="1533" spans="1:14">
      <c r="A1533" s="489" t="s">
        <v>1750</v>
      </c>
      <c r="B1533" s="18"/>
      <c r="C1533" s="18"/>
      <c r="D1533" s="18"/>
      <c r="E1533" s="18"/>
      <c r="F1533" s="18"/>
      <c r="G1533" s="18"/>
      <c r="H1533" s="18"/>
      <c r="I1533" s="18">
        <v>2271739</v>
      </c>
      <c r="J1533" s="18"/>
      <c r="K1533" s="18"/>
      <c r="L1533" s="18"/>
      <c r="M1533" s="18"/>
      <c r="N1533" s="18">
        <v>2271739</v>
      </c>
    </row>
    <row r="1534" spans="1:14">
      <c r="A1534" s="489" t="s">
        <v>1540</v>
      </c>
      <c r="B1534" s="18"/>
      <c r="C1534" s="18"/>
      <c r="D1534" s="18"/>
      <c r="E1534" s="18"/>
      <c r="F1534" s="18"/>
      <c r="G1534" s="18"/>
      <c r="H1534" s="18"/>
      <c r="I1534" s="18">
        <v>3931799.2</v>
      </c>
      <c r="J1534" s="18"/>
      <c r="K1534" s="18"/>
      <c r="L1534" s="18"/>
      <c r="M1534" s="18"/>
      <c r="N1534" s="18">
        <v>3931799.2</v>
      </c>
    </row>
    <row r="1535" spans="1:14">
      <c r="A1535" s="489" t="s">
        <v>1330</v>
      </c>
      <c r="B1535" s="18"/>
      <c r="C1535" s="18"/>
      <c r="D1535" s="18"/>
      <c r="E1535" s="18"/>
      <c r="F1535" s="18"/>
      <c r="G1535" s="18"/>
      <c r="H1535" s="18"/>
      <c r="I1535" s="18">
        <v>660000</v>
      </c>
      <c r="J1535" s="18"/>
      <c r="K1535" s="18"/>
      <c r="L1535" s="18"/>
      <c r="M1535" s="18"/>
      <c r="N1535" s="18">
        <v>660000</v>
      </c>
    </row>
    <row r="1536" spans="1:14">
      <c r="A1536" s="489" t="s">
        <v>1120</v>
      </c>
      <c r="B1536" s="18"/>
      <c r="C1536" s="18"/>
      <c r="D1536" s="18"/>
      <c r="E1536" s="18"/>
      <c r="F1536" s="18"/>
      <c r="G1536" s="18"/>
      <c r="H1536" s="18"/>
      <c r="I1536" s="18"/>
      <c r="J1536" s="18"/>
      <c r="K1536" s="18"/>
      <c r="L1536" s="18"/>
      <c r="M1536" s="18"/>
      <c r="N1536" s="18"/>
    </row>
    <row r="1537" spans="1:14">
      <c r="A1537" s="489" t="s">
        <v>910</v>
      </c>
      <c r="B1537" s="18"/>
      <c r="C1537" s="18"/>
      <c r="D1537" s="18"/>
      <c r="E1537" s="18"/>
      <c r="F1537" s="18"/>
      <c r="G1537" s="18"/>
      <c r="H1537" s="18"/>
      <c r="I1537" s="18"/>
      <c r="J1537" s="18"/>
      <c r="K1537" s="18"/>
      <c r="L1537" s="18"/>
      <c r="M1537" s="18"/>
      <c r="N1537" s="18"/>
    </row>
    <row r="1538" spans="1:14">
      <c r="A1538" s="347" t="s">
        <v>1911</v>
      </c>
      <c r="B1538" s="18"/>
      <c r="C1538" s="18"/>
      <c r="D1538" s="18"/>
      <c r="E1538" s="18"/>
      <c r="F1538" s="18"/>
      <c r="G1538" s="18"/>
      <c r="H1538" s="18"/>
      <c r="I1538" s="18">
        <v>2271739</v>
      </c>
      <c r="J1538" s="18"/>
      <c r="K1538" s="18"/>
      <c r="L1538" s="18"/>
      <c r="M1538" s="18"/>
      <c r="N1538" s="18">
        <v>2271739</v>
      </c>
    </row>
    <row r="1539" spans="1:14">
      <c r="A1539" s="347" t="s">
        <v>1701</v>
      </c>
      <c r="B1539" s="18"/>
      <c r="C1539" s="18"/>
      <c r="D1539" s="18"/>
      <c r="E1539" s="18"/>
      <c r="F1539" s="18"/>
      <c r="G1539" s="18"/>
      <c r="H1539" s="18"/>
      <c r="I1539" s="18">
        <v>3931799.2</v>
      </c>
      <c r="J1539" s="18"/>
      <c r="K1539" s="18"/>
      <c r="L1539" s="18"/>
      <c r="M1539" s="18"/>
      <c r="N1539" s="18">
        <v>3931799.2</v>
      </c>
    </row>
    <row r="1540" spans="1:14">
      <c r="A1540" s="347" t="s">
        <v>1491</v>
      </c>
      <c r="B1540" s="18"/>
      <c r="C1540" s="18"/>
      <c r="D1540" s="18"/>
      <c r="E1540" s="18"/>
      <c r="F1540" s="18"/>
      <c r="G1540" s="18"/>
      <c r="H1540" s="18"/>
      <c r="I1540" s="18">
        <v>660000</v>
      </c>
      <c r="J1540" s="18"/>
      <c r="K1540" s="18"/>
      <c r="L1540" s="18"/>
      <c r="M1540" s="18"/>
      <c r="N1540" s="18">
        <v>660000</v>
      </c>
    </row>
    <row r="1541" spans="1:14">
      <c r="A1541" s="347" t="s">
        <v>1281</v>
      </c>
      <c r="B1541" s="18"/>
      <c r="C1541" s="18"/>
      <c r="D1541" s="18"/>
      <c r="E1541" s="18"/>
      <c r="F1541" s="18"/>
      <c r="G1541" s="18"/>
      <c r="H1541" s="18"/>
      <c r="I1541" s="18"/>
      <c r="J1541" s="18"/>
      <c r="K1541" s="18"/>
      <c r="L1541" s="18"/>
      <c r="M1541" s="18"/>
      <c r="N1541" s="18"/>
    </row>
    <row r="1542" spans="1:14">
      <c r="A1542" s="347" t="s">
        <v>1071</v>
      </c>
      <c r="B1542" s="18"/>
      <c r="C1542" s="18"/>
      <c r="D1542" s="18"/>
      <c r="E1542" s="18"/>
      <c r="F1542" s="18"/>
      <c r="G1542" s="18"/>
      <c r="H1542" s="18"/>
      <c r="I1542" s="18"/>
      <c r="J1542" s="18"/>
      <c r="K1542" s="18"/>
      <c r="L1542" s="18"/>
      <c r="M1542" s="18"/>
      <c r="N1542" s="18"/>
    </row>
    <row r="1543" spans="1:14">
      <c r="A1543" s="19" t="s">
        <v>1912</v>
      </c>
      <c r="B1543" s="18"/>
      <c r="C1543" s="18"/>
      <c r="D1543" s="18"/>
      <c r="E1543" s="18"/>
      <c r="F1543" s="18"/>
      <c r="G1543" s="18"/>
      <c r="H1543" s="18"/>
      <c r="I1543" s="18">
        <v>2271739</v>
      </c>
      <c r="J1543" s="18"/>
      <c r="K1543" s="18"/>
      <c r="L1543" s="18"/>
      <c r="M1543" s="18"/>
      <c r="N1543" s="18">
        <v>2271739</v>
      </c>
    </row>
    <row r="1544" spans="1:14">
      <c r="A1544" s="19" t="s">
        <v>1702</v>
      </c>
      <c r="B1544" s="18"/>
      <c r="C1544" s="18"/>
      <c r="D1544" s="18"/>
      <c r="E1544" s="18"/>
      <c r="F1544" s="18"/>
      <c r="G1544" s="18"/>
      <c r="H1544" s="18"/>
      <c r="I1544" s="18">
        <v>3931799.2</v>
      </c>
      <c r="J1544" s="18"/>
      <c r="K1544" s="18"/>
      <c r="L1544" s="18"/>
      <c r="M1544" s="18"/>
      <c r="N1544" s="18">
        <v>3931799.2</v>
      </c>
    </row>
    <row r="1545" spans="1:14">
      <c r="A1545" s="19" t="s">
        <v>1492</v>
      </c>
      <c r="B1545" s="18"/>
      <c r="C1545" s="18"/>
      <c r="D1545" s="18"/>
      <c r="E1545" s="18"/>
      <c r="F1545" s="18"/>
      <c r="G1545" s="18"/>
      <c r="H1545" s="18"/>
      <c r="I1545" s="18">
        <v>660000</v>
      </c>
      <c r="J1545" s="18"/>
      <c r="K1545" s="18"/>
      <c r="L1545" s="18"/>
      <c r="M1545" s="18"/>
      <c r="N1545" s="18">
        <v>660000</v>
      </c>
    </row>
    <row r="1546" spans="1:14">
      <c r="A1546" s="19" t="s">
        <v>1282</v>
      </c>
      <c r="B1546" s="18"/>
      <c r="C1546" s="18"/>
      <c r="D1546" s="18"/>
      <c r="E1546" s="18"/>
      <c r="F1546" s="18"/>
      <c r="G1546" s="18"/>
      <c r="H1546" s="18"/>
      <c r="I1546" s="18"/>
      <c r="J1546" s="18"/>
      <c r="K1546" s="18"/>
      <c r="L1546" s="18"/>
      <c r="M1546" s="18"/>
      <c r="N1546" s="18"/>
    </row>
    <row r="1547" spans="1:14">
      <c r="A1547" s="19" t="s">
        <v>1072</v>
      </c>
      <c r="B1547" s="18"/>
      <c r="C1547" s="18"/>
      <c r="D1547" s="18"/>
      <c r="E1547" s="18"/>
      <c r="F1547" s="18"/>
      <c r="G1547" s="18"/>
      <c r="H1547" s="18"/>
      <c r="I1547" s="18"/>
      <c r="J1547" s="18"/>
      <c r="K1547" s="18"/>
      <c r="L1547" s="18"/>
      <c r="M1547" s="18"/>
      <c r="N1547" s="18"/>
    </row>
    <row r="1548" spans="1:14">
      <c r="A1548" s="4" t="s">
        <v>1913</v>
      </c>
      <c r="B1548" s="18"/>
      <c r="C1548" s="18"/>
      <c r="D1548" s="18"/>
      <c r="E1548" s="18"/>
      <c r="F1548" s="18"/>
      <c r="G1548" s="18"/>
      <c r="H1548" s="18"/>
      <c r="I1548" s="18">
        <v>2271739</v>
      </c>
      <c r="J1548" s="18"/>
      <c r="K1548" s="18"/>
      <c r="L1548" s="18"/>
      <c r="M1548" s="18"/>
      <c r="N1548" s="18">
        <v>2271739</v>
      </c>
    </row>
    <row r="1549" spans="1:14">
      <c r="A1549" s="4" t="s">
        <v>1703</v>
      </c>
      <c r="B1549" s="18"/>
      <c r="C1549" s="18"/>
      <c r="D1549" s="18"/>
      <c r="E1549" s="18"/>
      <c r="F1549" s="18"/>
      <c r="G1549" s="18"/>
      <c r="H1549" s="18"/>
      <c r="I1549" s="18">
        <v>3931799.2</v>
      </c>
      <c r="J1549" s="18"/>
      <c r="K1549" s="18"/>
      <c r="L1549" s="18"/>
      <c r="M1549" s="18"/>
      <c r="N1549" s="18">
        <v>3931799.2</v>
      </c>
    </row>
    <row r="1550" spans="1:14">
      <c r="A1550" s="4" t="s">
        <v>1493</v>
      </c>
      <c r="B1550" s="18"/>
      <c r="C1550" s="18"/>
      <c r="D1550" s="18"/>
      <c r="E1550" s="18"/>
      <c r="F1550" s="18"/>
      <c r="G1550" s="18"/>
      <c r="H1550" s="18"/>
      <c r="I1550" s="18">
        <v>660000</v>
      </c>
      <c r="J1550" s="18"/>
      <c r="K1550" s="18"/>
      <c r="L1550" s="18"/>
      <c r="M1550" s="18"/>
      <c r="N1550" s="18">
        <v>660000</v>
      </c>
    </row>
    <row r="1551" spans="1:14">
      <c r="A1551" s="4" t="s">
        <v>1283</v>
      </c>
      <c r="B1551" s="18"/>
      <c r="C1551" s="18"/>
      <c r="D1551" s="18"/>
      <c r="E1551" s="18"/>
      <c r="F1551" s="18"/>
      <c r="G1551" s="18"/>
      <c r="H1551" s="18"/>
      <c r="I1551" s="18"/>
      <c r="J1551" s="18"/>
      <c r="K1551" s="18"/>
      <c r="L1551" s="18"/>
      <c r="M1551" s="18"/>
      <c r="N1551" s="18"/>
    </row>
    <row r="1552" spans="1:14">
      <c r="A1552" s="4" t="s">
        <v>1073</v>
      </c>
      <c r="B1552" s="18"/>
      <c r="C1552" s="18"/>
      <c r="D1552" s="18"/>
      <c r="E1552" s="18"/>
      <c r="F1552" s="18"/>
      <c r="G1552" s="18"/>
      <c r="H1552" s="18"/>
      <c r="I1552" s="18"/>
      <c r="J1552" s="18"/>
      <c r="K1552" s="18"/>
      <c r="L1552" s="18"/>
      <c r="M1552" s="18"/>
      <c r="N1552" s="18"/>
    </row>
    <row r="1553" spans="1:14">
      <c r="A1553" s="4">
        <v>2438948</v>
      </c>
      <c r="B1553" s="18"/>
      <c r="C1553" s="18"/>
      <c r="D1553" s="18"/>
      <c r="E1553" s="18"/>
      <c r="F1553" s="18"/>
      <c r="G1553" s="18"/>
      <c r="H1553" s="18"/>
      <c r="I1553" s="18"/>
      <c r="J1553" s="18"/>
      <c r="K1553" s="18"/>
      <c r="L1553" s="18"/>
      <c r="M1553" s="18"/>
      <c r="N1553" s="18"/>
    </row>
    <row r="1554" spans="1:14">
      <c r="A1554" s="19">
        <v>1</v>
      </c>
      <c r="B1554" s="18"/>
      <c r="C1554" s="18"/>
      <c r="D1554" s="18"/>
      <c r="E1554" s="18"/>
      <c r="F1554" s="18"/>
      <c r="G1554" s="18"/>
      <c r="H1554" s="18"/>
      <c r="I1554" s="18"/>
      <c r="J1554" s="18"/>
      <c r="K1554" s="18"/>
      <c r="L1554" s="18"/>
      <c r="M1554" s="18"/>
      <c r="N1554" s="18"/>
    </row>
    <row r="1555" spans="1:14">
      <c r="A1555" s="347">
        <v>4693223</v>
      </c>
      <c r="B1555" s="18"/>
      <c r="C1555" s="18"/>
      <c r="D1555" s="18"/>
      <c r="E1555" s="18"/>
      <c r="F1555" s="18"/>
      <c r="G1555" s="18"/>
      <c r="H1555" s="18"/>
      <c r="I1555" s="18"/>
      <c r="J1555" s="18"/>
      <c r="K1555" s="18"/>
      <c r="L1555" s="18"/>
      <c r="M1555" s="18"/>
      <c r="N1555" s="18"/>
    </row>
    <row r="1556" spans="1:14">
      <c r="A1556" s="489">
        <v>15485</v>
      </c>
      <c r="B1556" s="18"/>
      <c r="C1556" s="18"/>
      <c r="D1556" s="18"/>
      <c r="E1556" s="18"/>
      <c r="F1556" s="18"/>
      <c r="G1556" s="18"/>
      <c r="H1556" s="18"/>
      <c r="I1556" s="18"/>
      <c r="J1556" s="18"/>
      <c r="K1556" s="18"/>
      <c r="L1556" s="18"/>
      <c r="M1556" s="18"/>
      <c r="N1556" s="18"/>
    </row>
    <row r="1557" spans="1:14">
      <c r="A1557" s="753">
        <v>171546.14266916923</v>
      </c>
      <c r="B1557" s="18"/>
      <c r="C1557" s="18"/>
      <c r="D1557" s="18"/>
      <c r="E1557" s="18"/>
      <c r="F1557" s="18"/>
      <c r="G1557" s="18"/>
      <c r="H1557" s="18"/>
      <c r="I1557" s="18"/>
      <c r="J1557" s="18"/>
      <c r="K1557" s="18"/>
      <c r="L1557" s="18"/>
      <c r="M1557" s="18"/>
      <c r="N1557" s="18"/>
    </row>
    <row r="1558" spans="1:14">
      <c r="A1558" s="754" t="s">
        <v>898</v>
      </c>
      <c r="B1558" s="18"/>
      <c r="C1558" s="18"/>
      <c r="D1558" s="18"/>
      <c r="E1558" s="18">
        <v>2438948</v>
      </c>
      <c r="F1558" s="18"/>
      <c r="G1558" s="18"/>
      <c r="H1558" s="18"/>
      <c r="I1558" s="18"/>
      <c r="J1558" s="18"/>
      <c r="K1558" s="18"/>
      <c r="L1558" s="18"/>
      <c r="M1558" s="18"/>
      <c r="N1558" s="18">
        <v>2438948</v>
      </c>
    </row>
    <row r="1559" spans="1:14">
      <c r="A1559" s="754" t="s">
        <v>901</v>
      </c>
      <c r="B1559" s="18"/>
      <c r="C1559" s="18"/>
      <c r="D1559" s="18"/>
      <c r="E1559" s="18">
        <v>4693223</v>
      </c>
      <c r="F1559" s="18"/>
      <c r="G1559" s="18"/>
      <c r="H1559" s="18"/>
      <c r="I1559" s="18"/>
      <c r="J1559" s="18"/>
      <c r="K1559" s="18"/>
      <c r="L1559" s="18"/>
      <c r="M1559" s="18"/>
      <c r="N1559" s="18">
        <v>4693223</v>
      </c>
    </row>
    <row r="1560" spans="1:14">
      <c r="A1560" s="754" t="s">
        <v>903</v>
      </c>
      <c r="B1560" s="18"/>
      <c r="C1560" s="18"/>
      <c r="D1560" s="18"/>
      <c r="E1560" s="18">
        <v>1</v>
      </c>
      <c r="F1560" s="18"/>
      <c r="G1560" s="18"/>
      <c r="H1560" s="18"/>
      <c r="I1560" s="18"/>
      <c r="J1560" s="18"/>
      <c r="K1560" s="18"/>
      <c r="L1560" s="18"/>
      <c r="M1560" s="18"/>
      <c r="N1560" s="18">
        <v>1</v>
      </c>
    </row>
    <row r="1561" spans="1:14">
      <c r="A1561" s="754" t="s">
        <v>905</v>
      </c>
      <c r="B1561" s="18"/>
      <c r="C1561" s="18"/>
      <c r="D1561" s="18"/>
      <c r="E1561" s="18">
        <v>15485</v>
      </c>
      <c r="F1561" s="18"/>
      <c r="G1561" s="18"/>
      <c r="H1561" s="18"/>
      <c r="I1561" s="18"/>
      <c r="J1561" s="18"/>
      <c r="K1561" s="18"/>
      <c r="L1561" s="18"/>
      <c r="M1561" s="18"/>
      <c r="N1561" s="18">
        <v>15485</v>
      </c>
    </row>
    <row r="1562" spans="1:14">
      <c r="A1562" s="754" t="s">
        <v>174</v>
      </c>
      <c r="B1562" s="18"/>
      <c r="C1562" s="18"/>
      <c r="D1562" s="18"/>
      <c r="E1562" s="18">
        <v>171546.14266916923</v>
      </c>
      <c r="F1562" s="18"/>
      <c r="G1562" s="18"/>
      <c r="H1562" s="18"/>
      <c r="I1562" s="18"/>
      <c r="J1562" s="18"/>
      <c r="K1562" s="18"/>
      <c r="L1562" s="18"/>
      <c r="M1562" s="18"/>
      <c r="N1562" s="18">
        <v>171546.14266916923</v>
      </c>
    </row>
    <row r="1563" spans="1:14">
      <c r="A1563" s="489" t="s">
        <v>1914</v>
      </c>
      <c r="B1563" s="18"/>
      <c r="C1563" s="18"/>
      <c r="D1563" s="18"/>
      <c r="E1563" s="18">
        <v>2438948</v>
      </c>
      <c r="F1563" s="18"/>
      <c r="G1563" s="18"/>
      <c r="H1563" s="18"/>
      <c r="I1563" s="18"/>
      <c r="J1563" s="18"/>
      <c r="K1563" s="18"/>
      <c r="L1563" s="18"/>
      <c r="M1563" s="18"/>
      <c r="N1563" s="18">
        <v>2438948</v>
      </c>
    </row>
    <row r="1564" spans="1:14">
      <c r="A1564" s="489" t="s">
        <v>1704</v>
      </c>
      <c r="B1564" s="18"/>
      <c r="C1564" s="18"/>
      <c r="D1564" s="18"/>
      <c r="E1564" s="18">
        <v>4693223</v>
      </c>
      <c r="F1564" s="18"/>
      <c r="G1564" s="18"/>
      <c r="H1564" s="18"/>
      <c r="I1564" s="18"/>
      <c r="J1564" s="18"/>
      <c r="K1564" s="18"/>
      <c r="L1564" s="18"/>
      <c r="M1564" s="18"/>
      <c r="N1564" s="18">
        <v>4693223</v>
      </c>
    </row>
    <row r="1565" spans="1:14">
      <c r="A1565" s="489" t="s">
        <v>1494</v>
      </c>
      <c r="B1565" s="18"/>
      <c r="C1565" s="18"/>
      <c r="D1565" s="18"/>
      <c r="E1565" s="18">
        <v>1</v>
      </c>
      <c r="F1565" s="18"/>
      <c r="G1565" s="18"/>
      <c r="H1565" s="18"/>
      <c r="I1565" s="18"/>
      <c r="J1565" s="18"/>
      <c r="K1565" s="18"/>
      <c r="L1565" s="18"/>
      <c r="M1565" s="18"/>
      <c r="N1565" s="18">
        <v>1</v>
      </c>
    </row>
    <row r="1566" spans="1:14">
      <c r="A1566" s="489" t="s">
        <v>1284</v>
      </c>
      <c r="B1566" s="18"/>
      <c r="C1566" s="18"/>
      <c r="D1566" s="18"/>
      <c r="E1566" s="18">
        <v>15485</v>
      </c>
      <c r="F1566" s="18"/>
      <c r="G1566" s="18"/>
      <c r="H1566" s="18"/>
      <c r="I1566" s="18"/>
      <c r="J1566" s="18"/>
      <c r="K1566" s="18"/>
      <c r="L1566" s="18"/>
      <c r="M1566" s="18"/>
      <c r="N1566" s="18">
        <v>15485</v>
      </c>
    </row>
    <row r="1567" spans="1:14">
      <c r="A1567" s="489" t="s">
        <v>1074</v>
      </c>
      <c r="B1567" s="18"/>
      <c r="C1567" s="18"/>
      <c r="D1567" s="18"/>
      <c r="E1567" s="18">
        <v>171546.14266916923</v>
      </c>
      <c r="F1567" s="18"/>
      <c r="G1567" s="18"/>
      <c r="H1567" s="18"/>
      <c r="I1567" s="18"/>
      <c r="J1567" s="18"/>
      <c r="K1567" s="18"/>
      <c r="L1567" s="18"/>
      <c r="M1567" s="18"/>
      <c r="N1567" s="18">
        <v>171546.14266916923</v>
      </c>
    </row>
    <row r="1568" spans="1:14">
      <c r="A1568" s="347" t="s">
        <v>1915</v>
      </c>
      <c r="B1568" s="18"/>
      <c r="C1568" s="18"/>
      <c r="D1568" s="18"/>
      <c r="E1568" s="18">
        <v>2438948</v>
      </c>
      <c r="F1568" s="18"/>
      <c r="G1568" s="18"/>
      <c r="H1568" s="18"/>
      <c r="I1568" s="18"/>
      <c r="J1568" s="18"/>
      <c r="K1568" s="18"/>
      <c r="L1568" s="18"/>
      <c r="M1568" s="18"/>
      <c r="N1568" s="18">
        <v>2438948</v>
      </c>
    </row>
    <row r="1569" spans="1:14">
      <c r="A1569" s="347" t="s">
        <v>1705</v>
      </c>
      <c r="B1569" s="18"/>
      <c r="C1569" s="18"/>
      <c r="D1569" s="18"/>
      <c r="E1569" s="18">
        <v>4693223</v>
      </c>
      <c r="F1569" s="18"/>
      <c r="G1569" s="18"/>
      <c r="H1569" s="18"/>
      <c r="I1569" s="18"/>
      <c r="J1569" s="18"/>
      <c r="K1569" s="18"/>
      <c r="L1569" s="18"/>
      <c r="M1569" s="18"/>
      <c r="N1569" s="18">
        <v>4693223</v>
      </c>
    </row>
    <row r="1570" spans="1:14">
      <c r="A1570" s="347" t="s">
        <v>1495</v>
      </c>
      <c r="B1570" s="18"/>
      <c r="C1570" s="18"/>
      <c r="D1570" s="18"/>
      <c r="E1570" s="18">
        <v>1</v>
      </c>
      <c r="F1570" s="18"/>
      <c r="G1570" s="18"/>
      <c r="H1570" s="18"/>
      <c r="I1570" s="18"/>
      <c r="J1570" s="18"/>
      <c r="K1570" s="18"/>
      <c r="L1570" s="18"/>
      <c r="M1570" s="18"/>
      <c r="N1570" s="18">
        <v>1</v>
      </c>
    </row>
    <row r="1571" spans="1:14">
      <c r="A1571" s="347" t="s">
        <v>1285</v>
      </c>
      <c r="B1571" s="18"/>
      <c r="C1571" s="18"/>
      <c r="D1571" s="18"/>
      <c r="E1571" s="18">
        <v>15485</v>
      </c>
      <c r="F1571" s="18"/>
      <c r="G1571" s="18"/>
      <c r="H1571" s="18"/>
      <c r="I1571" s="18"/>
      <c r="J1571" s="18"/>
      <c r="K1571" s="18"/>
      <c r="L1571" s="18"/>
      <c r="M1571" s="18"/>
      <c r="N1571" s="18">
        <v>15485</v>
      </c>
    </row>
    <row r="1572" spans="1:14">
      <c r="A1572" s="347" t="s">
        <v>1075</v>
      </c>
      <c r="B1572" s="18"/>
      <c r="C1572" s="18"/>
      <c r="D1572" s="18"/>
      <c r="E1572" s="18">
        <v>171546.14266916923</v>
      </c>
      <c r="F1572" s="18"/>
      <c r="G1572" s="18"/>
      <c r="H1572" s="18"/>
      <c r="I1572" s="18"/>
      <c r="J1572" s="18"/>
      <c r="K1572" s="18"/>
      <c r="L1572" s="18"/>
      <c r="M1572" s="18"/>
      <c r="N1572" s="18">
        <v>171546.14266916923</v>
      </c>
    </row>
    <row r="1573" spans="1:14">
      <c r="A1573" s="19" t="s">
        <v>1777</v>
      </c>
      <c r="B1573" s="18"/>
      <c r="C1573" s="18"/>
      <c r="D1573" s="18"/>
      <c r="E1573" s="18">
        <v>2438948</v>
      </c>
      <c r="F1573" s="18"/>
      <c r="G1573" s="18"/>
      <c r="H1573" s="18"/>
      <c r="I1573" s="18"/>
      <c r="J1573" s="18"/>
      <c r="K1573" s="18"/>
      <c r="L1573" s="18"/>
      <c r="M1573" s="18"/>
      <c r="N1573" s="18">
        <v>2438948</v>
      </c>
    </row>
    <row r="1574" spans="1:14">
      <c r="A1574" s="19" t="s">
        <v>1567</v>
      </c>
      <c r="B1574" s="18"/>
      <c r="C1574" s="18"/>
      <c r="D1574" s="18"/>
      <c r="E1574" s="18">
        <v>4693223</v>
      </c>
      <c r="F1574" s="18"/>
      <c r="G1574" s="18"/>
      <c r="H1574" s="18"/>
      <c r="I1574" s="18"/>
      <c r="J1574" s="18"/>
      <c r="K1574" s="18"/>
      <c r="L1574" s="18"/>
      <c r="M1574" s="18"/>
      <c r="N1574" s="18">
        <v>4693223</v>
      </c>
    </row>
    <row r="1575" spans="1:14">
      <c r="A1575" s="19" t="s">
        <v>1357</v>
      </c>
      <c r="B1575" s="18"/>
      <c r="C1575" s="18"/>
      <c r="D1575" s="18"/>
      <c r="E1575" s="18">
        <v>1</v>
      </c>
      <c r="F1575" s="18"/>
      <c r="G1575" s="18"/>
      <c r="H1575" s="18"/>
      <c r="I1575" s="18"/>
      <c r="J1575" s="18"/>
      <c r="K1575" s="18"/>
      <c r="L1575" s="18"/>
      <c r="M1575" s="18"/>
      <c r="N1575" s="18">
        <v>1</v>
      </c>
    </row>
    <row r="1576" spans="1:14">
      <c r="A1576" s="19" t="s">
        <v>1147</v>
      </c>
      <c r="B1576" s="18"/>
      <c r="C1576" s="18"/>
      <c r="D1576" s="18"/>
      <c r="E1576" s="18">
        <v>15485</v>
      </c>
      <c r="F1576" s="18"/>
      <c r="G1576" s="18"/>
      <c r="H1576" s="18"/>
      <c r="I1576" s="18"/>
      <c r="J1576" s="18"/>
      <c r="K1576" s="18"/>
      <c r="L1576" s="18"/>
      <c r="M1576" s="18"/>
      <c r="N1576" s="18">
        <v>15485</v>
      </c>
    </row>
    <row r="1577" spans="1:14">
      <c r="A1577" s="19" t="s">
        <v>937</v>
      </c>
      <c r="B1577" s="18"/>
      <c r="C1577" s="18"/>
      <c r="D1577" s="18"/>
      <c r="E1577" s="18">
        <v>171546.14266916923</v>
      </c>
      <c r="F1577" s="18"/>
      <c r="G1577" s="18"/>
      <c r="H1577" s="18"/>
      <c r="I1577" s="18"/>
      <c r="J1577" s="18"/>
      <c r="K1577" s="18"/>
      <c r="L1577" s="18"/>
      <c r="M1577" s="18"/>
      <c r="N1577" s="18">
        <v>171546.14266916923</v>
      </c>
    </row>
    <row r="1578" spans="1:14">
      <c r="A1578" s="4" t="s">
        <v>1916</v>
      </c>
      <c r="B1578" s="18"/>
      <c r="C1578" s="18"/>
      <c r="D1578" s="18"/>
      <c r="E1578" s="18">
        <v>2438948</v>
      </c>
      <c r="F1578" s="18"/>
      <c r="G1578" s="18"/>
      <c r="H1578" s="18"/>
      <c r="I1578" s="18"/>
      <c r="J1578" s="18"/>
      <c r="K1578" s="18"/>
      <c r="L1578" s="18"/>
      <c r="M1578" s="18"/>
      <c r="N1578" s="18">
        <v>2438948</v>
      </c>
    </row>
    <row r="1579" spans="1:14">
      <c r="A1579" s="4" t="s">
        <v>1706</v>
      </c>
      <c r="B1579" s="18"/>
      <c r="C1579" s="18"/>
      <c r="D1579" s="18"/>
      <c r="E1579" s="18">
        <v>4693223</v>
      </c>
      <c r="F1579" s="18"/>
      <c r="G1579" s="18"/>
      <c r="H1579" s="18"/>
      <c r="I1579" s="18"/>
      <c r="J1579" s="18"/>
      <c r="K1579" s="18"/>
      <c r="L1579" s="18"/>
      <c r="M1579" s="18"/>
      <c r="N1579" s="18">
        <v>4693223</v>
      </c>
    </row>
    <row r="1580" spans="1:14">
      <c r="A1580" s="4" t="s">
        <v>1496</v>
      </c>
      <c r="B1580" s="18"/>
      <c r="C1580" s="18"/>
      <c r="D1580" s="18"/>
      <c r="E1580" s="18">
        <v>1</v>
      </c>
      <c r="F1580" s="18"/>
      <c r="G1580" s="18"/>
      <c r="H1580" s="18"/>
      <c r="I1580" s="18"/>
      <c r="J1580" s="18"/>
      <c r="K1580" s="18"/>
      <c r="L1580" s="18"/>
      <c r="M1580" s="18"/>
      <c r="N1580" s="18">
        <v>1</v>
      </c>
    </row>
    <row r="1581" spans="1:14">
      <c r="A1581" s="4" t="s">
        <v>1286</v>
      </c>
      <c r="B1581" s="18"/>
      <c r="C1581" s="18"/>
      <c r="D1581" s="18"/>
      <c r="E1581" s="18">
        <v>15485</v>
      </c>
      <c r="F1581" s="18"/>
      <c r="G1581" s="18"/>
      <c r="H1581" s="18"/>
      <c r="I1581" s="18"/>
      <c r="J1581" s="18"/>
      <c r="K1581" s="18"/>
      <c r="L1581" s="18"/>
      <c r="M1581" s="18"/>
      <c r="N1581" s="18">
        <v>15485</v>
      </c>
    </row>
    <row r="1582" spans="1:14">
      <c r="A1582" s="4" t="s">
        <v>1076</v>
      </c>
      <c r="B1582" s="18"/>
      <c r="C1582" s="18"/>
      <c r="D1582" s="18"/>
      <c r="E1582" s="18">
        <v>171546.14266916923</v>
      </c>
      <c r="F1582" s="18"/>
      <c r="G1582" s="18"/>
      <c r="H1582" s="18"/>
      <c r="I1582" s="18"/>
      <c r="J1582" s="18"/>
      <c r="K1582" s="18"/>
      <c r="L1582" s="18"/>
      <c r="M1582" s="18"/>
      <c r="N1582" s="18">
        <v>171546.14266916923</v>
      </c>
    </row>
    <row r="1583" spans="1:14">
      <c r="A1583" s="4">
        <v>2453735</v>
      </c>
      <c r="B1583" s="18"/>
      <c r="C1583" s="18"/>
      <c r="D1583" s="18"/>
      <c r="E1583" s="18"/>
      <c r="F1583" s="18"/>
      <c r="G1583" s="18"/>
      <c r="H1583" s="18"/>
      <c r="I1583" s="18"/>
      <c r="J1583" s="18"/>
      <c r="K1583" s="18"/>
      <c r="L1583" s="18"/>
      <c r="M1583" s="18"/>
      <c r="N1583" s="18"/>
    </row>
    <row r="1584" spans="1:14">
      <c r="A1584" s="19">
        <v>1</v>
      </c>
      <c r="B1584" s="18"/>
      <c r="C1584" s="18"/>
      <c r="D1584" s="18"/>
      <c r="E1584" s="18"/>
      <c r="F1584" s="18"/>
      <c r="G1584" s="18"/>
      <c r="H1584" s="18"/>
      <c r="I1584" s="18"/>
      <c r="J1584" s="18"/>
      <c r="K1584" s="18"/>
      <c r="L1584" s="18"/>
      <c r="M1584" s="18"/>
      <c r="N1584" s="18"/>
    </row>
    <row r="1585" spans="1:14">
      <c r="A1585" s="347">
        <v>4684224</v>
      </c>
      <c r="B1585" s="18"/>
      <c r="C1585" s="18"/>
      <c r="D1585" s="18"/>
      <c r="E1585" s="18"/>
      <c r="F1585" s="18"/>
      <c r="G1585" s="18"/>
      <c r="H1585" s="18"/>
      <c r="I1585" s="18"/>
      <c r="J1585" s="18"/>
      <c r="K1585" s="18"/>
      <c r="L1585" s="18"/>
      <c r="M1585" s="18"/>
      <c r="N1585" s="18"/>
    </row>
    <row r="1586" spans="1:14">
      <c r="A1586" s="489">
        <v>0</v>
      </c>
      <c r="B1586" s="18"/>
      <c r="C1586" s="18"/>
      <c r="D1586" s="18"/>
      <c r="E1586" s="18"/>
      <c r="F1586" s="18"/>
      <c r="G1586" s="18"/>
      <c r="H1586" s="18"/>
      <c r="I1586" s="18"/>
      <c r="J1586" s="18"/>
      <c r="K1586" s="18"/>
      <c r="L1586" s="18"/>
      <c r="M1586" s="18"/>
      <c r="N1586" s="18"/>
    </row>
    <row r="1587" spans="1:14">
      <c r="A1587" s="753">
        <v>0</v>
      </c>
      <c r="B1587" s="18"/>
      <c r="C1587" s="18"/>
      <c r="D1587" s="18"/>
      <c r="E1587" s="18"/>
      <c r="F1587" s="18"/>
      <c r="G1587" s="18"/>
      <c r="H1587" s="18"/>
      <c r="I1587" s="18"/>
      <c r="J1587" s="18"/>
      <c r="K1587" s="18"/>
      <c r="L1587" s="18"/>
      <c r="M1587" s="18"/>
      <c r="N1587" s="18"/>
    </row>
    <row r="1588" spans="1:14">
      <c r="A1588" s="754" t="s">
        <v>898</v>
      </c>
      <c r="B1588" s="18"/>
      <c r="C1588" s="18"/>
      <c r="D1588" s="18"/>
      <c r="E1588" s="18">
        <v>2453735</v>
      </c>
      <c r="F1588" s="18"/>
      <c r="G1588" s="18"/>
      <c r="H1588" s="18"/>
      <c r="I1588" s="18"/>
      <c r="J1588" s="18"/>
      <c r="K1588" s="18"/>
      <c r="L1588" s="18"/>
      <c r="M1588" s="18"/>
      <c r="N1588" s="18">
        <v>2453735</v>
      </c>
    </row>
    <row r="1589" spans="1:14">
      <c r="A1589" s="754" t="s">
        <v>901</v>
      </c>
      <c r="B1589" s="18"/>
      <c r="C1589" s="18"/>
      <c r="D1589" s="18"/>
      <c r="E1589" s="18">
        <v>4684224</v>
      </c>
      <c r="F1589" s="18"/>
      <c r="G1589" s="18"/>
      <c r="H1589" s="18"/>
      <c r="I1589" s="18"/>
      <c r="J1589" s="18"/>
      <c r="K1589" s="18"/>
      <c r="L1589" s="18"/>
      <c r="M1589" s="18"/>
      <c r="N1589" s="18">
        <v>4684224</v>
      </c>
    </row>
    <row r="1590" spans="1:14">
      <c r="A1590" s="754" t="s">
        <v>903</v>
      </c>
      <c r="B1590" s="18"/>
      <c r="C1590" s="18"/>
      <c r="D1590" s="18"/>
      <c r="E1590" s="18">
        <v>1</v>
      </c>
      <c r="F1590" s="18"/>
      <c r="G1590" s="18"/>
      <c r="H1590" s="18"/>
      <c r="I1590" s="18"/>
      <c r="J1590" s="18"/>
      <c r="K1590" s="18"/>
      <c r="L1590" s="18"/>
      <c r="M1590" s="18"/>
      <c r="N1590" s="18">
        <v>1</v>
      </c>
    </row>
    <row r="1591" spans="1:14">
      <c r="A1591" s="754" t="s">
        <v>905</v>
      </c>
      <c r="B1591" s="18"/>
      <c r="C1591" s="18"/>
      <c r="D1591" s="18"/>
      <c r="E1591" s="18">
        <v>0</v>
      </c>
      <c r="F1591" s="18"/>
      <c r="G1591" s="18"/>
      <c r="H1591" s="18"/>
      <c r="I1591" s="18"/>
      <c r="J1591" s="18"/>
      <c r="K1591" s="18"/>
      <c r="L1591" s="18"/>
      <c r="M1591" s="18"/>
      <c r="N1591" s="18">
        <v>0</v>
      </c>
    </row>
    <row r="1592" spans="1:14">
      <c r="A1592" s="754" t="s">
        <v>174</v>
      </c>
      <c r="B1592" s="18"/>
      <c r="C1592" s="18"/>
      <c r="D1592" s="18"/>
      <c r="E1592" s="18">
        <v>0</v>
      </c>
      <c r="F1592" s="18"/>
      <c r="G1592" s="18"/>
      <c r="H1592" s="18"/>
      <c r="I1592" s="18"/>
      <c r="J1592" s="18"/>
      <c r="K1592" s="18"/>
      <c r="L1592" s="18"/>
      <c r="M1592" s="18"/>
      <c r="N1592" s="18">
        <v>0</v>
      </c>
    </row>
    <row r="1593" spans="1:14">
      <c r="A1593" s="489" t="s">
        <v>1755</v>
      </c>
      <c r="B1593" s="18"/>
      <c r="C1593" s="18"/>
      <c r="D1593" s="18"/>
      <c r="E1593" s="18">
        <v>2453735</v>
      </c>
      <c r="F1593" s="18"/>
      <c r="G1593" s="18"/>
      <c r="H1593" s="18"/>
      <c r="I1593" s="18"/>
      <c r="J1593" s="18"/>
      <c r="K1593" s="18"/>
      <c r="L1593" s="18"/>
      <c r="M1593" s="18"/>
      <c r="N1593" s="18">
        <v>2453735</v>
      </c>
    </row>
    <row r="1594" spans="1:14">
      <c r="A1594" s="489" t="s">
        <v>1545</v>
      </c>
      <c r="B1594" s="18"/>
      <c r="C1594" s="18"/>
      <c r="D1594" s="18"/>
      <c r="E1594" s="18">
        <v>4684224</v>
      </c>
      <c r="F1594" s="18"/>
      <c r="G1594" s="18"/>
      <c r="H1594" s="18"/>
      <c r="I1594" s="18"/>
      <c r="J1594" s="18"/>
      <c r="K1594" s="18"/>
      <c r="L1594" s="18"/>
      <c r="M1594" s="18"/>
      <c r="N1594" s="18">
        <v>4684224</v>
      </c>
    </row>
    <row r="1595" spans="1:14">
      <c r="A1595" s="489" t="s">
        <v>1335</v>
      </c>
      <c r="B1595" s="18"/>
      <c r="C1595" s="18"/>
      <c r="D1595" s="18"/>
      <c r="E1595" s="18">
        <v>1</v>
      </c>
      <c r="F1595" s="18"/>
      <c r="G1595" s="18"/>
      <c r="H1595" s="18"/>
      <c r="I1595" s="18"/>
      <c r="J1595" s="18"/>
      <c r="K1595" s="18"/>
      <c r="L1595" s="18"/>
      <c r="M1595" s="18"/>
      <c r="N1595" s="18">
        <v>1</v>
      </c>
    </row>
    <row r="1596" spans="1:14">
      <c r="A1596" s="489" t="s">
        <v>1125</v>
      </c>
      <c r="B1596" s="18"/>
      <c r="C1596" s="18"/>
      <c r="D1596" s="18"/>
      <c r="E1596" s="18">
        <v>0</v>
      </c>
      <c r="F1596" s="18"/>
      <c r="G1596" s="18"/>
      <c r="H1596" s="18"/>
      <c r="I1596" s="18"/>
      <c r="J1596" s="18"/>
      <c r="K1596" s="18"/>
      <c r="L1596" s="18"/>
      <c r="M1596" s="18"/>
      <c r="N1596" s="18">
        <v>0</v>
      </c>
    </row>
    <row r="1597" spans="1:14">
      <c r="A1597" s="489" t="s">
        <v>915</v>
      </c>
      <c r="B1597" s="18"/>
      <c r="C1597" s="18"/>
      <c r="D1597" s="18"/>
      <c r="E1597" s="18">
        <v>0</v>
      </c>
      <c r="F1597" s="18"/>
      <c r="G1597" s="18"/>
      <c r="H1597" s="18"/>
      <c r="I1597" s="18"/>
      <c r="J1597" s="18"/>
      <c r="K1597" s="18"/>
      <c r="L1597" s="18"/>
      <c r="M1597" s="18"/>
      <c r="N1597" s="18">
        <v>0</v>
      </c>
    </row>
    <row r="1598" spans="1:14">
      <c r="A1598" s="347" t="s">
        <v>1917</v>
      </c>
      <c r="B1598" s="18"/>
      <c r="C1598" s="18"/>
      <c r="D1598" s="18"/>
      <c r="E1598" s="18">
        <v>2453735</v>
      </c>
      <c r="F1598" s="18"/>
      <c r="G1598" s="18"/>
      <c r="H1598" s="18"/>
      <c r="I1598" s="18"/>
      <c r="J1598" s="18"/>
      <c r="K1598" s="18"/>
      <c r="L1598" s="18"/>
      <c r="M1598" s="18"/>
      <c r="N1598" s="18">
        <v>2453735</v>
      </c>
    </row>
    <row r="1599" spans="1:14">
      <c r="A1599" s="347" t="s">
        <v>1707</v>
      </c>
      <c r="B1599" s="18"/>
      <c r="C1599" s="18"/>
      <c r="D1599" s="18"/>
      <c r="E1599" s="18">
        <v>4684224</v>
      </c>
      <c r="F1599" s="18"/>
      <c r="G1599" s="18"/>
      <c r="H1599" s="18"/>
      <c r="I1599" s="18"/>
      <c r="J1599" s="18"/>
      <c r="K1599" s="18"/>
      <c r="L1599" s="18"/>
      <c r="M1599" s="18"/>
      <c r="N1599" s="18">
        <v>4684224</v>
      </c>
    </row>
    <row r="1600" spans="1:14">
      <c r="A1600" s="347" t="s">
        <v>1497</v>
      </c>
      <c r="B1600" s="18"/>
      <c r="C1600" s="18"/>
      <c r="D1600" s="18"/>
      <c r="E1600" s="18">
        <v>1</v>
      </c>
      <c r="F1600" s="18"/>
      <c r="G1600" s="18"/>
      <c r="H1600" s="18"/>
      <c r="I1600" s="18"/>
      <c r="J1600" s="18"/>
      <c r="K1600" s="18"/>
      <c r="L1600" s="18"/>
      <c r="M1600" s="18"/>
      <c r="N1600" s="18">
        <v>1</v>
      </c>
    </row>
    <row r="1601" spans="1:14">
      <c r="A1601" s="347" t="s">
        <v>1287</v>
      </c>
      <c r="B1601" s="18"/>
      <c r="C1601" s="18"/>
      <c r="D1601" s="18"/>
      <c r="E1601" s="18">
        <v>0</v>
      </c>
      <c r="F1601" s="18"/>
      <c r="G1601" s="18"/>
      <c r="H1601" s="18"/>
      <c r="I1601" s="18"/>
      <c r="J1601" s="18"/>
      <c r="K1601" s="18"/>
      <c r="L1601" s="18"/>
      <c r="M1601" s="18"/>
      <c r="N1601" s="18">
        <v>0</v>
      </c>
    </row>
    <row r="1602" spans="1:14">
      <c r="A1602" s="347" t="s">
        <v>1077</v>
      </c>
      <c r="B1602" s="18"/>
      <c r="C1602" s="18"/>
      <c r="D1602" s="18"/>
      <c r="E1602" s="18">
        <v>0</v>
      </c>
      <c r="F1602" s="18"/>
      <c r="G1602" s="18"/>
      <c r="H1602" s="18"/>
      <c r="I1602" s="18"/>
      <c r="J1602" s="18"/>
      <c r="K1602" s="18"/>
      <c r="L1602" s="18"/>
      <c r="M1602" s="18"/>
      <c r="N1602" s="18">
        <v>0</v>
      </c>
    </row>
    <row r="1603" spans="1:14">
      <c r="A1603" s="19" t="s">
        <v>1777</v>
      </c>
      <c r="B1603" s="18"/>
      <c r="C1603" s="18"/>
      <c r="D1603" s="18"/>
      <c r="E1603" s="18">
        <v>2453735</v>
      </c>
      <c r="F1603" s="18"/>
      <c r="G1603" s="18"/>
      <c r="H1603" s="18"/>
      <c r="I1603" s="18"/>
      <c r="J1603" s="18"/>
      <c r="K1603" s="18"/>
      <c r="L1603" s="18"/>
      <c r="M1603" s="18"/>
      <c r="N1603" s="18">
        <v>2453735</v>
      </c>
    </row>
    <row r="1604" spans="1:14">
      <c r="A1604" s="19" t="s">
        <v>1567</v>
      </c>
      <c r="B1604" s="18"/>
      <c r="C1604" s="18"/>
      <c r="D1604" s="18"/>
      <c r="E1604" s="18">
        <v>4684224</v>
      </c>
      <c r="F1604" s="18"/>
      <c r="G1604" s="18"/>
      <c r="H1604" s="18"/>
      <c r="I1604" s="18"/>
      <c r="J1604" s="18"/>
      <c r="K1604" s="18"/>
      <c r="L1604" s="18"/>
      <c r="M1604" s="18"/>
      <c r="N1604" s="18">
        <v>4684224</v>
      </c>
    </row>
    <row r="1605" spans="1:14">
      <c r="A1605" s="19" t="s">
        <v>1357</v>
      </c>
      <c r="B1605" s="18"/>
      <c r="C1605" s="18"/>
      <c r="D1605" s="18"/>
      <c r="E1605" s="18">
        <v>1</v>
      </c>
      <c r="F1605" s="18"/>
      <c r="G1605" s="18"/>
      <c r="H1605" s="18"/>
      <c r="I1605" s="18"/>
      <c r="J1605" s="18"/>
      <c r="K1605" s="18"/>
      <c r="L1605" s="18"/>
      <c r="M1605" s="18"/>
      <c r="N1605" s="18">
        <v>1</v>
      </c>
    </row>
    <row r="1606" spans="1:14">
      <c r="A1606" s="19" t="s">
        <v>1147</v>
      </c>
      <c r="B1606" s="18"/>
      <c r="C1606" s="18"/>
      <c r="D1606" s="18"/>
      <c r="E1606" s="18">
        <v>0</v>
      </c>
      <c r="F1606" s="18"/>
      <c r="G1606" s="18"/>
      <c r="H1606" s="18"/>
      <c r="I1606" s="18"/>
      <c r="J1606" s="18"/>
      <c r="K1606" s="18"/>
      <c r="L1606" s="18"/>
      <c r="M1606" s="18"/>
      <c r="N1606" s="18">
        <v>0</v>
      </c>
    </row>
    <row r="1607" spans="1:14">
      <c r="A1607" s="19" t="s">
        <v>937</v>
      </c>
      <c r="B1607" s="18"/>
      <c r="C1607" s="18"/>
      <c r="D1607" s="18"/>
      <c r="E1607" s="18">
        <v>0</v>
      </c>
      <c r="F1607" s="18"/>
      <c r="G1607" s="18"/>
      <c r="H1607" s="18"/>
      <c r="I1607" s="18"/>
      <c r="J1607" s="18"/>
      <c r="K1607" s="18"/>
      <c r="L1607" s="18"/>
      <c r="M1607" s="18"/>
      <c r="N1607" s="18">
        <v>0</v>
      </c>
    </row>
    <row r="1608" spans="1:14">
      <c r="A1608" s="4" t="s">
        <v>1918</v>
      </c>
      <c r="B1608" s="18"/>
      <c r="C1608" s="18"/>
      <c r="D1608" s="18"/>
      <c r="E1608" s="18">
        <v>2453735</v>
      </c>
      <c r="F1608" s="18"/>
      <c r="G1608" s="18"/>
      <c r="H1608" s="18"/>
      <c r="I1608" s="18"/>
      <c r="J1608" s="18"/>
      <c r="K1608" s="18"/>
      <c r="L1608" s="18"/>
      <c r="M1608" s="18"/>
      <c r="N1608" s="18">
        <v>2453735</v>
      </c>
    </row>
    <row r="1609" spans="1:14">
      <c r="A1609" s="4" t="s">
        <v>1708</v>
      </c>
      <c r="B1609" s="18"/>
      <c r="C1609" s="18"/>
      <c r="D1609" s="18"/>
      <c r="E1609" s="18">
        <v>4684224</v>
      </c>
      <c r="F1609" s="18"/>
      <c r="G1609" s="18"/>
      <c r="H1609" s="18"/>
      <c r="I1609" s="18"/>
      <c r="J1609" s="18"/>
      <c r="K1609" s="18"/>
      <c r="L1609" s="18"/>
      <c r="M1609" s="18"/>
      <c r="N1609" s="18">
        <v>4684224</v>
      </c>
    </row>
    <row r="1610" spans="1:14">
      <c r="A1610" s="4" t="s">
        <v>1498</v>
      </c>
      <c r="B1610" s="18"/>
      <c r="C1610" s="18"/>
      <c r="D1610" s="18"/>
      <c r="E1610" s="18">
        <v>1</v>
      </c>
      <c r="F1610" s="18"/>
      <c r="G1610" s="18"/>
      <c r="H1610" s="18"/>
      <c r="I1610" s="18"/>
      <c r="J1610" s="18"/>
      <c r="K1610" s="18"/>
      <c r="L1610" s="18"/>
      <c r="M1610" s="18"/>
      <c r="N1610" s="18">
        <v>1</v>
      </c>
    </row>
    <row r="1611" spans="1:14">
      <c r="A1611" s="4" t="s">
        <v>1288</v>
      </c>
      <c r="B1611" s="18"/>
      <c r="C1611" s="18"/>
      <c r="D1611" s="18"/>
      <c r="E1611" s="18">
        <v>0</v>
      </c>
      <c r="F1611" s="18"/>
      <c r="G1611" s="18"/>
      <c r="H1611" s="18"/>
      <c r="I1611" s="18"/>
      <c r="J1611" s="18"/>
      <c r="K1611" s="18"/>
      <c r="L1611" s="18"/>
      <c r="M1611" s="18"/>
      <c r="N1611" s="18">
        <v>0</v>
      </c>
    </row>
    <row r="1612" spans="1:14">
      <c r="A1612" s="4" t="s">
        <v>1078</v>
      </c>
      <c r="B1612" s="18"/>
      <c r="C1612" s="18"/>
      <c r="D1612" s="18"/>
      <c r="E1612" s="18">
        <v>0</v>
      </c>
      <c r="F1612" s="18"/>
      <c r="G1612" s="18"/>
      <c r="H1612" s="18"/>
      <c r="I1612" s="18"/>
      <c r="J1612" s="18"/>
      <c r="K1612" s="18"/>
      <c r="L1612" s="18"/>
      <c r="M1612" s="18"/>
      <c r="N1612" s="18">
        <v>0</v>
      </c>
    </row>
    <row r="1613" spans="1:14">
      <c r="A1613" s="4">
        <v>2572426.04</v>
      </c>
      <c r="B1613" s="18"/>
      <c r="C1613" s="18"/>
      <c r="D1613" s="18"/>
      <c r="E1613" s="18"/>
      <c r="F1613" s="18"/>
      <c r="G1613" s="18"/>
      <c r="H1613" s="18"/>
      <c r="I1613" s="18"/>
      <c r="J1613" s="18"/>
      <c r="K1613" s="18"/>
      <c r="L1613" s="18"/>
      <c r="M1613" s="18"/>
      <c r="N1613" s="18"/>
    </row>
    <row r="1614" spans="1:14">
      <c r="A1614" s="19">
        <v>925000</v>
      </c>
      <c r="B1614" s="18"/>
      <c r="C1614" s="18"/>
      <c r="D1614" s="18"/>
      <c r="E1614" s="18"/>
      <c r="F1614" s="18"/>
      <c r="G1614" s="18"/>
      <c r="H1614" s="18"/>
      <c r="I1614" s="18"/>
      <c r="J1614" s="18"/>
      <c r="K1614" s="18"/>
      <c r="L1614" s="18"/>
      <c r="M1614" s="18"/>
      <c r="N1614" s="18"/>
    </row>
    <row r="1615" spans="1:14">
      <c r="A1615" s="347">
        <v>5272823.875</v>
      </c>
      <c r="B1615" s="18"/>
      <c r="C1615" s="18"/>
      <c r="D1615" s="18"/>
      <c r="E1615" s="18"/>
      <c r="F1615" s="18"/>
      <c r="G1615" s="18"/>
      <c r="H1615" s="18"/>
      <c r="I1615" s="18"/>
      <c r="J1615" s="18"/>
      <c r="K1615" s="18"/>
      <c r="L1615" s="18"/>
      <c r="M1615" s="18"/>
      <c r="N1615" s="18"/>
    </row>
    <row r="1616" spans="1:14">
      <c r="A1616" s="489">
        <v>0</v>
      </c>
      <c r="B1616" s="18"/>
      <c r="C1616" s="18"/>
      <c r="D1616" s="18"/>
      <c r="E1616" s="18"/>
      <c r="F1616" s="18"/>
      <c r="G1616" s="18"/>
      <c r="H1616" s="18"/>
      <c r="I1616" s="18"/>
      <c r="J1616" s="18"/>
      <c r="K1616" s="18"/>
      <c r="L1616" s="18"/>
      <c r="M1616" s="18"/>
      <c r="N1616" s="18"/>
    </row>
    <row r="1617" spans="1:14">
      <c r="A1617" s="753">
        <v>119074.81</v>
      </c>
      <c r="B1617" s="18"/>
      <c r="C1617" s="18"/>
      <c r="D1617" s="18"/>
      <c r="E1617" s="18"/>
      <c r="F1617" s="18"/>
      <c r="G1617" s="18"/>
      <c r="H1617" s="18"/>
      <c r="I1617" s="18"/>
      <c r="J1617" s="18"/>
      <c r="K1617" s="18"/>
      <c r="L1617" s="18"/>
      <c r="M1617" s="18"/>
      <c r="N1617" s="18"/>
    </row>
    <row r="1618" spans="1:14">
      <c r="A1618" s="754" t="s">
        <v>898</v>
      </c>
      <c r="B1618" s="18"/>
      <c r="C1618" s="18"/>
      <c r="D1618" s="18"/>
      <c r="E1618" s="18"/>
      <c r="F1618" s="18">
        <v>2572426.04</v>
      </c>
      <c r="G1618" s="18"/>
      <c r="H1618" s="18"/>
      <c r="I1618" s="18"/>
      <c r="J1618" s="18"/>
      <c r="K1618" s="18"/>
      <c r="L1618" s="18"/>
      <c r="M1618" s="18"/>
      <c r="N1618" s="18">
        <v>2572426.04</v>
      </c>
    </row>
    <row r="1619" spans="1:14">
      <c r="A1619" s="754" t="s">
        <v>901</v>
      </c>
      <c r="B1619" s="18"/>
      <c r="C1619" s="18"/>
      <c r="D1619" s="18"/>
      <c r="E1619" s="18"/>
      <c r="F1619" s="18">
        <v>5272823.875</v>
      </c>
      <c r="G1619" s="18"/>
      <c r="H1619" s="18"/>
      <c r="I1619" s="18"/>
      <c r="J1619" s="18"/>
      <c r="K1619" s="18"/>
      <c r="L1619" s="18"/>
      <c r="M1619" s="18"/>
      <c r="N1619" s="18">
        <v>5272823.875</v>
      </c>
    </row>
    <row r="1620" spans="1:14">
      <c r="A1620" s="754" t="s">
        <v>903</v>
      </c>
      <c r="B1620" s="18"/>
      <c r="C1620" s="18"/>
      <c r="D1620" s="18"/>
      <c r="E1620" s="18"/>
      <c r="F1620" s="18">
        <v>925000</v>
      </c>
      <c r="G1620" s="18"/>
      <c r="H1620" s="18"/>
      <c r="I1620" s="18"/>
      <c r="J1620" s="18"/>
      <c r="K1620" s="18"/>
      <c r="L1620" s="18"/>
      <c r="M1620" s="18"/>
      <c r="N1620" s="18">
        <v>925000</v>
      </c>
    </row>
    <row r="1621" spans="1:14">
      <c r="A1621" s="754" t="s">
        <v>905</v>
      </c>
      <c r="B1621" s="18"/>
      <c r="C1621" s="18"/>
      <c r="D1621" s="18"/>
      <c r="E1621" s="18"/>
      <c r="F1621" s="18">
        <v>0</v>
      </c>
      <c r="G1621" s="18"/>
      <c r="H1621" s="18"/>
      <c r="I1621" s="18"/>
      <c r="J1621" s="18"/>
      <c r="K1621" s="18"/>
      <c r="L1621" s="18"/>
      <c r="M1621" s="18"/>
      <c r="N1621" s="18">
        <v>0</v>
      </c>
    </row>
    <row r="1622" spans="1:14">
      <c r="A1622" s="754" t="s">
        <v>174</v>
      </c>
      <c r="B1622" s="18"/>
      <c r="C1622" s="18"/>
      <c r="D1622" s="18"/>
      <c r="E1622" s="18"/>
      <c r="F1622" s="18">
        <v>119074.81</v>
      </c>
      <c r="G1622" s="18"/>
      <c r="H1622" s="18"/>
      <c r="I1622" s="18"/>
      <c r="J1622" s="18"/>
      <c r="K1622" s="18"/>
      <c r="L1622" s="18"/>
      <c r="M1622" s="18"/>
      <c r="N1622" s="18">
        <v>119074.81</v>
      </c>
    </row>
    <row r="1623" spans="1:14">
      <c r="A1623" s="489" t="s">
        <v>1755</v>
      </c>
      <c r="B1623" s="18"/>
      <c r="C1623" s="18"/>
      <c r="D1623" s="18"/>
      <c r="E1623" s="18"/>
      <c r="F1623" s="18">
        <v>2572426.04</v>
      </c>
      <c r="G1623" s="18"/>
      <c r="H1623" s="18"/>
      <c r="I1623" s="18"/>
      <c r="J1623" s="18"/>
      <c r="K1623" s="18"/>
      <c r="L1623" s="18"/>
      <c r="M1623" s="18"/>
      <c r="N1623" s="18">
        <v>2572426.04</v>
      </c>
    </row>
    <row r="1624" spans="1:14">
      <c r="A1624" s="489" t="s">
        <v>1545</v>
      </c>
      <c r="B1624" s="18"/>
      <c r="C1624" s="18"/>
      <c r="D1624" s="18"/>
      <c r="E1624" s="18"/>
      <c r="F1624" s="18">
        <v>5272823.875</v>
      </c>
      <c r="G1624" s="18"/>
      <c r="H1624" s="18"/>
      <c r="I1624" s="18"/>
      <c r="J1624" s="18"/>
      <c r="K1624" s="18"/>
      <c r="L1624" s="18"/>
      <c r="M1624" s="18"/>
      <c r="N1624" s="18">
        <v>5272823.875</v>
      </c>
    </row>
    <row r="1625" spans="1:14">
      <c r="A1625" s="489" t="s">
        <v>1335</v>
      </c>
      <c r="B1625" s="18"/>
      <c r="C1625" s="18"/>
      <c r="D1625" s="18"/>
      <c r="E1625" s="18"/>
      <c r="F1625" s="18">
        <v>925000</v>
      </c>
      <c r="G1625" s="18"/>
      <c r="H1625" s="18"/>
      <c r="I1625" s="18"/>
      <c r="J1625" s="18"/>
      <c r="K1625" s="18"/>
      <c r="L1625" s="18"/>
      <c r="M1625" s="18"/>
      <c r="N1625" s="18">
        <v>925000</v>
      </c>
    </row>
    <row r="1626" spans="1:14">
      <c r="A1626" s="489" t="s">
        <v>1125</v>
      </c>
      <c r="B1626" s="18"/>
      <c r="C1626" s="18"/>
      <c r="D1626" s="18"/>
      <c r="E1626" s="18"/>
      <c r="F1626" s="18">
        <v>0</v>
      </c>
      <c r="G1626" s="18"/>
      <c r="H1626" s="18"/>
      <c r="I1626" s="18"/>
      <c r="J1626" s="18"/>
      <c r="K1626" s="18"/>
      <c r="L1626" s="18"/>
      <c r="M1626" s="18"/>
      <c r="N1626" s="18">
        <v>0</v>
      </c>
    </row>
    <row r="1627" spans="1:14">
      <c r="A1627" s="489" t="s">
        <v>915</v>
      </c>
      <c r="B1627" s="18"/>
      <c r="C1627" s="18"/>
      <c r="D1627" s="18"/>
      <c r="E1627" s="18"/>
      <c r="F1627" s="18">
        <v>119074.81</v>
      </c>
      <c r="G1627" s="18"/>
      <c r="H1627" s="18"/>
      <c r="I1627" s="18"/>
      <c r="J1627" s="18"/>
      <c r="K1627" s="18"/>
      <c r="L1627" s="18"/>
      <c r="M1627" s="18"/>
      <c r="N1627" s="18">
        <v>119074.81</v>
      </c>
    </row>
    <row r="1628" spans="1:14">
      <c r="A1628" s="347" t="s">
        <v>1919</v>
      </c>
      <c r="B1628" s="18"/>
      <c r="C1628" s="18"/>
      <c r="D1628" s="18"/>
      <c r="E1628" s="18"/>
      <c r="F1628" s="18">
        <v>2572426.04</v>
      </c>
      <c r="G1628" s="18"/>
      <c r="H1628" s="18"/>
      <c r="I1628" s="18"/>
      <c r="J1628" s="18"/>
      <c r="K1628" s="18"/>
      <c r="L1628" s="18"/>
      <c r="M1628" s="18"/>
      <c r="N1628" s="18">
        <v>2572426.04</v>
      </c>
    </row>
    <row r="1629" spans="1:14">
      <c r="A1629" s="347" t="s">
        <v>1709</v>
      </c>
      <c r="B1629" s="18"/>
      <c r="C1629" s="18"/>
      <c r="D1629" s="18"/>
      <c r="E1629" s="18"/>
      <c r="F1629" s="18">
        <v>5272823.875</v>
      </c>
      <c r="G1629" s="18"/>
      <c r="H1629" s="18"/>
      <c r="I1629" s="18"/>
      <c r="J1629" s="18"/>
      <c r="K1629" s="18"/>
      <c r="L1629" s="18"/>
      <c r="M1629" s="18"/>
      <c r="N1629" s="18">
        <v>5272823.875</v>
      </c>
    </row>
    <row r="1630" spans="1:14">
      <c r="A1630" s="347" t="s">
        <v>1499</v>
      </c>
      <c r="B1630" s="18"/>
      <c r="C1630" s="18"/>
      <c r="D1630" s="18"/>
      <c r="E1630" s="18"/>
      <c r="F1630" s="18">
        <v>925000</v>
      </c>
      <c r="G1630" s="18"/>
      <c r="H1630" s="18"/>
      <c r="I1630" s="18"/>
      <c r="J1630" s="18"/>
      <c r="K1630" s="18"/>
      <c r="L1630" s="18"/>
      <c r="M1630" s="18"/>
      <c r="N1630" s="18">
        <v>925000</v>
      </c>
    </row>
    <row r="1631" spans="1:14">
      <c r="A1631" s="347" t="s">
        <v>1289</v>
      </c>
      <c r="B1631" s="18"/>
      <c r="C1631" s="18"/>
      <c r="D1631" s="18"/>
      <c r="E1631" s="18"/>
      <c r="F1631" s="18">
        <v>0</v>
      </c>
      <c r="G1631" s="18"/>
      <c r="H1631" s="18"/>
      <c r="I1631" s="18"/>
      <c r="J1631" s="18"/>
      <c r="K1631" s="18"/>
      <c r="L1631" s="18"/>
      <c r="M1631" s="18"/>
      <c r="N1631" s="18">
        <v>0</v>
      </c>
    </row>
    <row r="1632" spans="1:14">
      <c r="A1632" s="347" t="s">
        <v>1079</v>
      </c>
      <c r="B1632" s="18"/>
      <c r="C1632" s="18"/>
      <c r="D1632" s="18"/>
      <c r="E1632" s="18"/>
      <c r="F1632" s="18">
        <v>119074.81</v>
      </c>
      <c r="G1632" s="18"/>
      <c r="H1632" s="18"/>
      <c r="I1632" s="18"/>
      <c r="J1632" s="18"/>
      <c r="K1632" s="18"/>
      <c r="L1632" s="18"/>
      <c r="M1632" s="18"/>
      <c r="N1632" s="18">
        <v>119074.81</v>
      </c>
    </row>
    <row r="1633" spans="1:14">
      <c r="A1633" s="19" t="s">
        <v>1920</v>
      </c>
      <c r="B1633" s="18"/>
      <c r="C1633" s="18"/>
      <c r="D1633" s="18"/>
      <c r="E1633" s="18"/>
      <c r="F1633" s="18">
        <v>2572426.04</v>
      </c>
      <c r="G1633" s="18"/>
      <c r="H1633" s="18"/>
      <c r="I1633" s="18"/>
      <c r="J1633" s="18"/>
      <c r="K1633" s="18"/>
      <c r="L1633" s="18"/>
      <c r="M1633" s="18"/>
      <c r="N1633" s="18">
        <v>2572426.04</v>
      </c>
    </row>
    <row r="1634" spans="1:14">
      <c r="A1634" s="19" t="s">
        <v>1710</v>
      </c>
      <c r="B1634" s="18"/>
      <c r="C1634" s="18"/>
      <c r="D1634" s="18"/>
      <c r="E1634" s="18"/>
      <c r="F1634" s="18">
        <v>5272823.875</v>
      </c>
      <c r="G1634" s="18"/>
      <c r="H1634" s="18"/>
      <c r="I1634" s="18"/>
      <c r="J1634" s="18"/>
      <c r="K1634" s="18"/>
      <c r="L1634" s="18"/>
      <c r="M1634" s="18"/>
      <c r="N1634" s="18">
        <v>5272823.875</v>
      </c>
    </row>
    <row r="1635" spans="1:14">
      <c r="A1635" s="19" t="s">
        <v>1500</v>
      </c>
      <c r="B1635" s="18"/>
      <c r="C1635" s="18"/>
      <c r="D1635" s="18"/>
      <c r="E1635" s="18"/>
      <c r="F1635" s="18">
        <v>925000</v>
      </c>
      <c r="G1635" s="18"/>
      <c r="H1635" s="18"/>
      <c r="I1635" s="18"/>
      <c r="J1635" s="18"/>
      <c r="K1635" s="18"/>
      <c r="L1635" s="18"/>
      <c r="M1635" s="18"/>
      <c r="N1635" s="18">
        <v>925000</v>
      </c>
    </row>
    <row r="1636" spans="1:14">
      <c r="A1636" s="19" t="s">
        <v>1290</v>
      </c>
      <c r="B1636" s="18"/>
      <c r="C1636" s="18"/>
      <c r="D1636" s="18"/>
      <c r="E1636" s="18"/>
      <c r="F1636" s="18">
        <v>0</v>
      </c>
      <c r="G1636" s="18"/>
      <c r="H1636" s="18"/>
      <c r="I1636" s="18"/>
      <c r="J1636" s="18"/>
      <c r="K1636" s="18"/>
      <c r="L1636" s="18"/>
      <c r="M1636" s="18"/>
      <c r="N1636" s="18">
        <v>0</v>
      </c>
    </row>
    <row r="1637" spans="1:14">
      <c r="A1637" s="19" t="s">
        <v>1080</v>
      </c>
      <c r="B1637" s="18"/>
      <c r="C1637" s="18"/>
      <c r="D1637" s="18"/>
      <c r="E1637" s="18"/>
      <c r="F1637" s="18">
        <v>119074.81</v>
      </c>
      <c r="G1637" s="18"/>
      <c r="H1637" s="18"/>
      <c r="I1637" s="18"/>
      <c r="J1637" s="18"/>
      <c r="K1637" s="18"/>
      <c r="L1637" s="18"/>
      <c r="M1637" s="18"/>
      <c r="N1637" s="18">
        <v>119074.81</v>
      </c>
    </row>
    <row r="1638" spans="1:14">
      <c r="A1638" s="4" t="s">
        <v>1921</v>
      </c>
      <c r="B1638" s="18"/>
      <c r="C1638" s="18"/>
      <c r="D1638" s="18"/>
      <c r="E1638" s="18"/>
      <c r="F1638" s="18">
        <v>2572426.04</v>
      </c>
      <c r="G1638" s="18"/>
      <c r="H1638" s="18"/>
      <c r="I1638" s="18"/>
      <c r="J1638" s="18"/>
      <c r="K1638" s="18"/>
      <c r="L1638" s="18"/>
      <c r="M1638" s="18"/>
      <c r="N1638" s="18">
        <v>2572426.04</v>
      </c>
    </row>
    <row r="1639" spans="1:14">
      <c r="A1639" s="4" t="s">
        <v>1711</v>
      </c>
      <c r="B1639" s="18"/>
      <c r="C1639" s="18"/>
      <c r="D1639" s="18"/>
      <c r="E1639" s="18"/>
      <c r="F1639" s="18">
        <v>5272823.875</v>
      </c>
      <c r="G1639" s="18"/>
      <c r="H1639" s="18"/>
      <c r="I1639" s="18"/>
      <c r="J1639" s="18"/>
      <c r="K1639" s="18"/>
      <c r="L1639" s="18"/>
      <c r="M1639" s="18"/>
      <c r="N1639" s="18">
        <v>5272823.875</v>
      </c>
    </row>
    <row r="1640" spans="1:14">
      <c r="A1640" s="4" t="s">
        <v>1501</v>
      </c>
      <c r="B1640" s="18"/>
      <c r="C1640" s="18"/>
      <c r="D1640" s="18"/>
      <c r="E1640" s="18"/>
      <c r="F1640" s="18">
        <v>925000</v>
      </c>
      <c r="G1640" s="18"/>
      <c r="H1640" s="18"/>
      <c r="I1640" s="18"/>
      <c r="J1640" s="18"/>
      <c r="K1640" s="18"/>
      <c r="L1640" s="18"/>
      <c r="M1640" s="18"/>
      <c r="N1640" s="18">
        <v>925000</v>
      </c>
    </row>
    <row r="1641" spans="1:14">
      <c r="A1641" s="4" t="s">
        <v>1291</v>
      </c>
      <c r="B1641" s="18"/>
      <c r="C1641" s="18"/>
      <c r="D1641" s="18"/>
      <c r="E1641" s="18"/>
      <c r="F1641" s="18">
        <v>0</v>
      </c>
      <c r="G1641" s="18"/>
      <c r="H1641" s="18"/>
      <c r="I1641" s="18"/>
      <c r="J1641" s="18"/>
      <c r="K1641" s="18"/>
      <c r="L1641" s="18"/>
      <c r="M1641" s="18"/>
      <c r="N1641" s="18">
        <v>0</v>
      </c>
    </row>
    <row r="1642" spans="1:14">
      <c r="A1642" s="4" t="s">
        <v>1081</v>
      </c>
      <c r="B1642" s="18"/>
      <c r="C1642" s="18"/>
      <c r="D1642" s="18"/>
      <c r="E1642" s="18"/>
      <c r="F1642" s="18">
        <v>119074.81</v>
      </c>
      <c r="G1642" s="18"/>
      <c r="H1642" s="18"/>
      <c r="I1642" s="18"/>
      <c r="J1642" s="18"/>
      <c r="K1642" s="18"/>
      <c r="L1642" s="18"/>
      <c r="M1642" s="18"/>
      <c r="N1642" s="18">
        <v>119074.81</v>
      </c>
    </row>
    <row r="1643" spans="1:14">
      <c r="A1643" s="4">
        <v>2642685</v>
      </c>
      <c r="B1643" s="18"/>
      <c r="C1643" s="18"/>
      <c r="D1643" s="18"/>
      <c r="E1643" s="18"/>
      <c r="F1643" s="18"/>
      <c r="G1643" s="18"/>
      <c r="H1643" s="18"/>
      <c r="I1643" s="18"/>
      <c r="J1643" s="18"/>
      <c r="K1643" s="18"/>
      <c r="L1643" s="18"/>
      <c r="M1643" s="18"/>
      <c r="N1643" s="18"/>
    </row>
    <row r="1644" spans="1:14">
      <c r="A1644" s="19">
        <v>406000</v>
      </c>
      <c r="B1644" s="18"/>
      <c r="C1644" s="18"/>
      <c r="D1644" s="18"/>
      <c r="E1644" s="18"/>
      <c r="F1644" s="18"/>
      <c r="G1644" s="18"/>
      <c r="H1644" s="18"/>
      <c r="I1644" s="18"/>
      <c r="J1644" s="18"/>
      <c r="K1644" s="18"/>
      <c r="L1644" s="18"/>
      <c r="M1644" s="18"/>
      <c r="N1644" s="18"/>
    </row>
    <row r="1645" spans="1:14">
      <c r="A1645" s="347">
        <v>5285874</v>
      </c>
      <c r="B1645" s="18"/>
      <c r="C1645" s="18"/>
      <c r="D1645" s="18"/>
      <c r="E1645" s="18"/>
      <c r="F1645" s="18"/>
      <c r="G1645" s="18"/>
      <c r="H1645" s="18"/>
      <c r="I1645" s="18"/>
      <c r="J1645" s="18"/>
      <c r="K1645" s="18"/>
      <c r="L1645" s="18"/>
      <c r="M1645" s="18"/>
      <c r="N1645" s="18"/>
    </row>
    <row r="1646" spans="1:14">
      <c r="A1646" s="489">
        <v>112832</v>
      </c>
      <c r="B1646" s="18"/>
      <c r="C1646" s="18"/>
      <c r="D1646" s="18"/>
      <c r="E1646" s="18"/>
      <c r="F1646" s="18"/>
      <c r="G1646" s="18"/>
      <c r="H1646" s="18"/>
      <c r="I1646" s="18"/>
      <c r="J1646" s="18"/>
      <c r="K1646" s="18"/>
      <c r="L1646" s="18"/>
      <c r="M1646" s="18"/>
      <c r="N1646" s="18"/>
    </row>
    <row r="1647" spans="1:14">
      <c r="A1647" s="753" t="s">
        <v>733</v>
      </c>
      <c r="B1647" s="18"/>
      <c r="C1647" s="18"/>
      <c r="D1647" s="18"/>
      <c r="E1647" s="18"/>
      <c r="F1647" s="18"/>
      <c r="G1647" s="18"/>
      <c r="H1647" s="18"/>
      <c r="I1647" s="18"/>
      <c r="J1647" s="18"/>
      <c r="K1647" s="18"/>
      <c r="L1647" s="18"/>
      <c r="M1647" s="18"/>
      <c r="N1647" s="18"/>
    </row>
    <row r="1648" spans="1:14">
      <c r="A1648" s="754" t="s">
        <v>898</v>
      </c>
      <c r="B1648" s="18"/>
      <c r="C1648" s="18"/>
      <c r="D1648" s="18"/>
      <c r="E1648" s="18"/>
      <c r="F1648" s="18"/>
      <c r="G1648" s="18">
        <v>2642685</v>
      </c>
      <c r="H1648" s="18"/>
      <c r="I1648" s="18"/>
      <c r="J1648" s="18"/>
      <c r="K1648" s="18"/>
      <c r="L1648" s="18"/>
      <c r="M1648" s="18"/>
      <c r="N1648" s="18">
        <v>2642685</v>
      </c>
    </row>
    <row r="1649" spans="1:14">
      <c r="A1649" s="754" t="s">
        <v>901</v>
      </c>
      <c r="B1649" s="18"/>
      <c r="C1649" s="18"/>
      <c r="D1649" s="18"/>
      <c r="E1649" s="18"/>
      <c r="F1649" s="18"/>
      <c r="G1649" s="18">
        <v>5285874</v>
      </c>
      <c r="H1649" s="18"/>
      <c r="I1649" s="18"/>
      <c r="J1649" s="18"/>
      <c r="K1649" s="18"/>
      <c r="L1649" s="18"/>
      <c r="M1649" s="18"/>
      <c r="N1649" s="18">
        <v>5285874</v>
      </c>
    </row>
    <row r="1650" spans="1:14">
      <c r="A1650" s="754" t="s">
        <v>903</v>
      </c>
      <c r="B1650" s="18"/>
      <c r="C1650" s="18"/>
      <c r="D1650" s="18"/>
      <c r="E1650" s="18"/>
      <c r="F1650" s="18"/>
      <c r="G1650" s="18">
        <v>406000</v>
      </c>
      <c r="H1650" s="18"/>
      <c r="I1650" s="18"/>
      <c r="J1650" s="18"/>
      <c r="K1650" s="18"/>
      <c r="L1650" s="18"/>
      <c r="M1650" s="18"/>
      <c r="N1650" s="18">
        <v>406000</v>
      </c>
    </row>
    <row r="1651" spans="1:14">
      <c r="A1651" s="754" t="s">
        <v>905</v>
      </c>
      <c r="B1651" s="18"/>
      <c r="C1651" s="18"/>
      <c r="D1651" s="18"/>
      <c r="E1651" s="18"/>
      <c r="F1651" s="18"/>
      <c r="G1651" s="18">
        <v>112832</v>
      </c>
      <c r="H1651" s="18"/>
      <c r="I1651" s="18"/>
      <c r="J1651" s="18"/>
      <c r="K1651" s="18"/>
      <c r="L1651" s="18"/>
      <c r="M1651" s="18"/>
      <c r="N1651" s="18">
        <v>112832</v>
      </c>
    </row>
    <row r="1652" spans="1:14">
      <c r="A1652" s="754" t="s">
        <v>174</v>
      </c>
      <c r="B1652" s="18"/>
      <c r="C1652" s="18"/>
      <c r="D1652" s="18"/>
      <c r="E1652" s="18"/>
      <c r="F1652" s="18"/>
      <c r="G1652" s="18"/>
      <c r="H1652" s="18"/>
      <c r="I1652" s="18"/>
      <c r="J1652" s="18"/>
      <c r="K1652" s="18"/>
      <c r="L1652" s="18"/>
      <c r="M1652" s="18"/>
      <c r="N1652" s="18"/>
    </row>
    <row r="1653" spans="1:14">
      <c r="A1653" s="489" t="s">
        <v>1922</v>
      </c>
      <c r="B1653" s="18"/>
      <c r="C1653" s="18"/>
      <c r="D1653" s="18"/>
      <c r="E1653" s="18"/>
      <c r="F1653" s="18"/>
      <c r="G1653" s="18">
        <v>2642685</v>
      </c>
      <c r="H1653" s="18"/>
      <c r="I1653" s="18"/>
      <c r="J1653" s="18"/>
      <c r="K1653" s="18"/>
      <c r="L1653" s="18"/>
      <c r="M1653" s="18"/>
      <c r="N1653" s="18">
        <v>2642685</v>
      </c>
    </row>
    <row r="1654" spans="1:14">
      <c r="A1654" s="489" t="s">
        <v>1712</v>
      </c>
      <c r="B1654" s="18"/>
      <c r="C1654" s="18"/>
      <c r="D1654" s="18"/>
      <c r="E1654" s="18"/>
      <c r="F1654" s="18"/>
      <c r="G1654" s="18">
        <v>5285874</v>
      </c>
      <c r="H1654" s="18"/>
      <c r="I1654" s="18"/>
      <c r="J1654" s="18"/>
      <c r="K1654" s="18"/>
      <c r="L1654" s="18"/>
      <c r="M1654" s="18"/>
      <c r="N1654" s="18">
        <v>5285874</v>
      </c>
    </row>
    <row r="1655" spans="1:14">
      <c r="A1655" s="489" t="s">
        <v>1502</v>
      </c>
      <c r="B1655" s="18"/>
      <c r="C1655" s="18"/>
      <c r="D1655" s="18"/>
      <c r="E1655" s="18"/>
      <c r="F1655" s="18"/>
      <c r="G1655" s="18">
        <v>406000</v>
      </c>
      <c r="H1655" s="18"/>
      <c r="I1655" s="18"/>
      <c r="J1655" s="18"/>
      <c r="K1655" s="18"/>
      <c r="L1655" s="18"/>
      <c r="M1655" s="18"/>
      <c r="N1655" s="18">
        <v>406000</v>
      </c>
    </row>
    <row r="1656" spans="1:14">
      <c r="A1656" s="489" t="s">
        <v>1292</v>
      </c>
      <c r="B1656" s="18"/>
      <c r="C1656" s="18"/>
      <c r="D1656" s="18"/>
      <c r="E1656" s="18"/>
      <c r="F1656" s="18"/>
      <c r="G1656" s="18">
        <v>112832</v>
      </c>
      <c r="H1656" s="18"/>
      <c r="I1656" s="18"/>
      <c r="J1656" s="18"/>
      <c r="K1656" s="18"/>
      <c r="L1656" s="18"/>
      <c r="M1656" s="18"/>
      <c r="N1656" s="18">
        <v>112832</v>
      </c>
    </row>
    <row r="1657" spans="1:14">
      <c r="A1657" s="489" t="s">
        <v>1082</v>
      </c>
      <c r="B1657" s="18"/>
      <c r="C1657" s="18"/>
      <c r="D1657" s="18"/>
      <c r="E1657" s="18"/>
      <c r="F1657" s="18"/>
      <c r="G1657" s="18"/>
      <c r="H1657" s="18"/>
      <c r="I1657" s="18"/>
      <c r="J1657" s="18"/>
      <c r="K1657" s="18"/>
      <c r="L1657" s="18"/>
      <c r="M1657" s="18"/>
      <c r="N1657" s="18"/>
    </row>
    <row r="1658" spans="1:14">
      <c r="A1658" s="347" t="s">
        <v>1923</v>
      </c>
      <c r="B1658" s="18"/>
      <c r="C1658" s="18"/>
      <c r="D1658" s="18"/>
      <c r="E1658" s="18"/>
      <c r="F1658" s="18"/>
      <c r="G1658" s="18">
        <v>2642685</v>
      </c>
      <c r="H1658" s="18"/>
      <c r="I1658" s="18"/>
      <c r="J1658" s="18"/>
      <c r="K1658" s="18"/>
      <c r="L1658" s="18"/>
      <c r="M1658" s="18"/>
      <c r="N1658" s="18">
        <v>2642685</v>
      </c>
    </row>
    <row r="1659" spans="1:14">
      <c r="A1659" s="347" t="s">
        <v>1713</v>
      </c>
      <c r="B1659" s="18"/>
      <c r="C1659" s="18"/>
      <c r="D1659" s="18"/>
      <c r="E1659" s="18"/>
      <c r="F1659" s="18"/>
      <c r="G1659" s="18">
        <v>5285874</v>
      </c>
      <c r="H1659" s="18"/>
      <c r="I1659" s="18"/>
      <c r="J1659" s="18"/>
      <c r="K1659" s="18"/>
      <c r="L1659" s="18"/>
      <c r="M1659" s="18"/>
      <c r="N1659" s="18">
        <v>5285874</v>
      </c>
    </row>
    <row r="1660" spans="1:14">
      <c r="A1660" s="347" t="s">
        <v>1503</v>
      </c>
      <c r="B1660" s="18"/>
      <c r="C1660" s="18"/>
      <c r="D1660" s="18"/>
      <c r="E1660" s="18"/>
      <c r="F1660" s="18"/>
      <c r="G1660" s="18">
        <v>406000</v>
      </c>
      <c r="H1660" s="18"/>
      <c r="I1660" s="18"/>
      <c r="J1660" s="18"/>
      <c r="K1660" s="18"/>
      <c r="L1660" s="18"/>
      <c r="M1660" s="18"/>
      <c r="N1660" s="18">
        <v>406000</v>
      </c>
    </row>
    <row r="1661" spans="1:14">
      <c r="A1661" s="347" t="s">
        <v>1293</v>
      </c>
      <c r="B1661" s="18"/>
      <c r="C1661" s="18"/>
      <c r="D1661" s="18"/>
      <c r="E1661" s="18"/>
      <c r="F1661" s="18"/>
      <c r="G1661" s="18">
        <v>112832</v>
      </c>
      <c r="H1661" s="18"/>
      <c r="I1661" s="18"/>
      <c r="J1661" s="18"/>
      <c r="K1661" s="18"/>
      <c r="L1661" s="18"/>
      <c r="M1661" s="18"/>
      <c r="N1661" s="18">
        <v>112832</v>
      </c>
    </row>
    <row r="1662" spans="1:14">
      <c r="A1662" s="347" t="s">
        <v>1083</v>
      </c>
      <c r="B1662" s="18"/>
      <c r="C1662" s="18"/>
      <c r="D1662" s="18"/>
      <c r="E1662" s="18"/>
      <c r="F1662" s="18"/>
      <c r="G1662" s="18"/>
      <c r="H1662" s="18"/>
      <c r="I1662" s="18"/>
      <c r="J1662" s="18"/>
      <c r="K1662" s="18"/>
      <c r="L1662" s="18"/>
      <c r="M1662" s="18"/>
      <c r="N1662" s="18"/>
    </row>
    <row r="1663" spans="1:14">
      <c r="A1663" s="19" t="s">
        <v>1924</v>
      </c>
      <c r="B1663" s="18"/>
      <c r="C1663" s="18"/>
      <c r="D1663" s="18"/>
      <c r="E1663" s="18"/>
      <c r="F1663" s="18"/>
      <c r="G1663" s="18">
        <v>2642685</v>
      </c>
      <c r="H1663" s="18"/>
      <c r="I1663" s="18"/>
      <c r="J1663" s="18"/>
      <c r="K1663" s="18"/>
      <c r="L1663" s="18"/>
      <c r="M1663" s="18"/>
      <c r="N1663" s="18">
        <v>2642685</v>
      </c>
    </row>
    <row r="1664" spans="1:14">
      <c r="A1664" s="19" t="s">
        <v>1714</v>
      </c>
      <c r="B1664" s="18"/>
      <c r="C1664" s="18"/>
      <c r="D1664" s="18"/>
      <c r="E1664" s="18"/>
      <c r="F1664" s="18"/>
      <c r="G1664" s="18">
        <v>5285874</v>
      </c>
      <c r="H1664" s="18"/>
      <c r="I1664" s="18"/>
      <c r="J1664" s="18"/>
      <c r="K1664" s="18"/>
      <c r="L1664" s="18"/>
      <c r="M1664" s="18"/>
      <c r="N1664" s="18">
        <v>5285874</v>
      </c>
    </row>
    <row r="1665" spans="1:14">
      <c r="A1665" s="19" t="s">
        <v>1504</v>
      </c>
      <c r="B1665" s="18"/>
      <c r="C1665" s="18"/>
      <c r="D1665" s="18"/>
      <c r="E1665" s="18"/>
      <c r="F1665" s="18"/>
      <c r="G1665" s="18">
        <v>406000</v>
      </c>
      <c r="H1665" s="18"/>
      <c r="I1665" s="18"/>
      <c r="J1665" s="18"/>
      <c r="K1665" s="18"/>
      <c r="L1665" s="18"/>
      <c r="M1665" s="18"/>
      <c r="N1665" s="18">
        <v>406000</v>
      </c>
    </row>
    <row r="1666" spans="1:14">
      <c r="A1666" s="19" t="s">
        <v>1294</v>
      </c>
      <c r="B1666" s="18"/>
      <c r="C1666" s="18"/>
      <c r="D1666" s="18"/>
      <c r="E1666" s="18"/>
      <c r="F1666" s="18"/>
      <c r="G1666" s="18">
        <v>112832</v>
      </c>
      <c r="H1666" s="18"/>
      <c r="I1666" s="18"/>
      <c r="J1666" s="18"/>
      <c r="K1666" s="18"/>
      <c r="L1666" s="18"/>
      <c r="M1666" s="18"/>
      <c r="N1666" s="18">
        <v>112832</v>
      </c>
    </row>
    <row r="1667" spans="1:14">
      <c r="A1667" s="19" t="s">
        <v>1084</v>
      </c>
      <c r="B1667" s="18"/>
      <c r="C1667" s="18"/>
      <c r="D1667" s="18"/>
      <c r="E1667" s="18"/>
      <c r="F1667" s="18"/>
      <c r="G1667" s="18"/>
      <c r="H1667" s="18"/>
      <c r="I1667" s="18"/>
      <c r="J1667" s="18"/>
      <c r="K1667" s="18"/>
      <c r="L1667" s="18"/>
      <c r="M1667" s="18"/>
      <c r="N1667" s="18"/>
    </row>
    <row r="1668" spans="1:14">
      <c r="A1668" s="4" t="s">
        <v>1925</v>
      </c>
      <c r="B1668" s="18"/>
      <c r="C1668" s="18"/>
      <c r="D1668" s="18"/>
      <c r="E1668" s="18"/>
      <c r="F1668" s="18"/>
      <c r="G1668" s="18">
        <v>2642685</v>
      </c>
      <c r="H1668" s="18"/>
      <c r="I1668" s="18"/>
      <c r="J1668" s="18"/>
      <c r="K1668" s="18"/>
      <c r="L1668" s="18"/>
      <c r="M1668" s="18"/>
      <c r="N1668" s="18">
        <v>2642685</v>
      </c>
    </row>
    <row r="1669" spans="1:14">
      <c r="A1669" s="4" t="s">
        <v>1715</v>
      </c>
      <c r="B1669" s="18"/>
      <c r="C1669" s="18"/>
      <c r="D1669" s="18"/>
      <c r="E1669" s="18"/>
      <c r="F1669" s="18"/>
      <c r="G1669" s="18">
        <v>5285874</v>
      </c>
      <c r="H1669" s="18"/>
      <c r="I1669" s="18"/>
      <c r="J1669" s="18"/>
      <c r="K1669" s="18"/>
      <c r="L1669" s="18"/>
      <c r="M1669" s="18"/>
      <c r="N1669" s="18">
        <v>5285874</v>
      </c>
    </row>
    <row r="1670" spans="1:14">
      <c r="A1670" s="4" t="s">
        <v>1505</v>
      </c>
      <c r="B1670" s="18"/>
      <c r="C1670" s="18"/>
      <c r="D1670" s="18"/>
      <c r="E1670" s="18"/>
      <c r="F1670" s="18"/>
      <c r="G1670" s="18">
        <v>406000</v>
      </c>
      <c r="H1670" s="18"/>
      <c r="I1670" s="18"/>
      <c r="J1670" s="18"/>
      <c r="K1670" s="18"/>
      <c r="L1670" s="18"/>
      <c r="M1670" s="18"/>
      <c r="N1670" s="18">
        <v>406000</v>
      </c>
    </row>
    <row r="1671" spans="1:14">
      <c r="A1671" s="4" t="s">
        <v>1295</v>
      </c>
      <c r="B1671" s="18"/>
      <c r="C1671" s="18"/>
      <c r="D1671" s="18"/>
      <c r="E1671" s="18"/>
      <c r="F1671" s="18"/>
      <c r="G1671" s="18">
        <v>112832</v>
      </c>
      <c r="H1671" s="18"/>
      <c r="I1671" s="18"/>
      <c r="J1671" s="18"/>
      <c r="K1671" s="18"/>
      <c r="L1671" s="18"/>
      <c r="M1671" s="18"/>
      <c r="N1671" s="18">
        <v>112832</v>
      </c>
    </row>
    <row r="1672" spans="1:14">
      <c r="A1672" s="4" t="s">
        <v>1085</v>
      </c>
      <c r="B1672" s="18"/>
      <c r="C1672" s="18"/>
      <c r="D1672" s="18"/>
      <c r="E1672" s="18"/>
      <c r="F1672" s="18"/>
      <c r="G1672" s="18"/>
      <c r="H1672" s="18"/>
      <c r="I1672" s="18"/>
      <c r="J1672" s="18"/>
      <c r="K1672" s="18"/>
      <c r="L1672" s="18"/>
      <c r="M1672" s="18"/>
      <c r="N1672" s="18"/>
    </row>
    <row r="1673" spans="1:14">
      <c r="A1673" s="4">
        <v>2932668</v>
      </c>
      <c r="B1673" s="18"/>
      <c r="C1673" s="18"/>
      <c r="D1673" s="18"/>
      <c r="E1673" s="18"/>
      <c r="F1673" s="18"/>
      <c r="G1673" s="18"/>
      <c r="H1673" s="18"/>
      <c r="I1673" s="18"/>
      <c r="J1673" s="18"/>
      <c r="K1673" s="18"/>
      <c r="L1673" s="18"/>
      <c r="M1673" s="18"/>
      <c r="N1673" s="18"/>
    </row>
    <row r="1674" spans="1:14">
      <c r="A1674" s="19">
        <v>300000</v>
      </c>
      <c r="B1674" s="18"/>
      <c r="C1674" s="18"/>
      <c r="D1674" s="18"/>
      <c r="E1674" s="18"/>
      <c r="F1674" s="18"/>
      <c r="G1674" s="18"/>
      <c r="H1674" s="18"/>
      <c r="I1674" s="18"/>
      <c r="J1674" s="18"/>
      <c r="K1674" s="18"/>
      <c r="L1674" s="18"/>
      <c r="M1674" s="18"/>
      <c r="N1674" s="18"/>
    </row>
    <row r="1675" spans="1:14">
      <c r="A1675" s="347">
        <v>6290107</v>
      </c>
      <c r="B1675" s="18"/>
      <c r="C1675" s="18"/>
      <c r="D1675" s="18"/>
      <c r="E1675" s="18"/>
      <c r="F1675" s="18"/>
      <c r="G1675" s="18"/>
      <c r="H1675" s="18"/>
      <c r="I1675" s="18"/>
      <c r="J1675" s="18"/>
      <c r="K1675" s="18"/>
      <c r="L1675" s="18"/>
      <c r="M1675" s="18"/>
      <c r="N1675" s="18"/>
    </row>
    <row r="1676" spans="1:14">
      <c r="A1676" s="489">
        <v>0</v>
      </c>
      <c r="B1676" s="18"/>
      <c r="C1676" s="18"/>
      <c r="D1676" s="18"/>
      <c r="E1676" s="18"/>
      <c r="F1676" s="18"/>
      <c r="G1676" s="18"/>
      <c r="H1676" s="18"/>
      <c r="I1676" s="18"/>
      <c r="J1676" s="18"/>
      <c r="K1676" s="18"/>
      <c r="L1676" s="18"/>
      <c r="M1676" s="18"/>
      <c r="N1676" s="18"/>
    </row>
    <row r="1677" spans="1:14">
      <c r="A1677" s="753">
        <v>0</v>
      </c>
      <c r="B1677" s="18"/>
      <c r="C1677" s="18"/>
      <c r="D1677" s="18"/>
      <c r="E1677" s="18"/>
      <c r="F1677" s="18"/>
      <c r="G1677" s="18"/>
      <c r="H1677" s="18"/>
      <c r="I1677" s="18"/>
      <c r="J1677" s="18"/>
      <c r="K1677" s="18"/>
      <c r="L1677" s="18"/>
      <c r="M1677" s="18"/>
      <c r="N1677" s="18"/>
    </row>
    <row r="1678" spans="1:14">
      <c r="A1678" s="754" t="s">
        <v>898</v>
      </c>
      <c r="B1678" s="18"/>
      <c r="C1678" s="18">
        <v>2932668</v>
      </c>
      <c r="D1678" s="18"/>
      <c r="E1678" s="18"/>
      <c r="F1678" s="18"/>
      <c r="G1678" s="18"/>
      <c r="H1678" s="18"/>
      <c r="I1678" s="18"/>
      <c r="J1678" s="18"/>
      <c r="K1678" s="18"/>
      <c r="L1678" s="18"/>
      <c r="M1678" s="18"/>
      <c r="N1678" s="18">
        <v>2932668</v>
      </c>
    </row>
    <row r="1679" spans="1:14">
      <c r="A1679" s="754" t="s">
        <v>901</v>
      </c>
      <c r="B1679" s="18"/>
      <c r="C1679" s="18">
        <v>6290107</v>
      </c>
      <c r="D1679" s="18"/>
      <c r="E1679" s="18"/>
      <c r="F1679" s="18"/>
      <c r="G1679" s="18"/>
      <c r="H1679" s="18"/>
      <c r="I1679" s="18"/>
      <c r="J1679" s="18"/>
      <c r="K1679" s="18"/>
      <c r="L1679" s="18"/>
      <c r="M1679" s="18"/>
      <c r="N1679" s="18">
        <v>6290107</v>
      </c>
    </row>
    <row r="1680" spans="1:14">
      <c r="A1680" s="754" t="s">
        <v>903</v>
      </c>
      <c r="B1680" s="18"/>
      <c r="C1680" s="18">
        <v>300000</v>
      </c>
      <c r="D1680" s="18"/>
      <c r="E1680" s="18"/>
      <c r="F1680" s="18"/>
      <c r="G1680" s="18"/>
      <c r="H1680" s="18"/>
      <c r="I1680" s="18"/>
      <c r="J1680" s="18"/>
      <c r="K1680" s="18"/>
      <c r="L1680" s="18"/>
      <c r="M1680" s="18"/>
      <c r="N1680" s="18">
        <v>300000</v>
      </c>
    </row>
    <row r="1681" spans="1:14">
      <c r="A1681" s="754" t="s">
        <v>905</v>
      </c>
      <c r="B1681" s="18"/>
      <c r="C1681" s="18">
        <v>0</v>
      </c>
      <c r="D1681" s="18"/>
      <c r="E1681" s="18"/>
      <c r="F1681" s="18"/>
      <c r="G1681" s="18"/>
      <c r="H1681" s="18"/>
      <c r="I1681" s="18"/>
      <c r="J1681" s="18"/>
      <c r="K1681" s="18"/>
      <c r="L1681" s="18"/>
      <c r="M1681" s="18"/>
      <c r="N1681" s="18">
        <v>0</v>
      </c>
    </row>
    <row r="1682" spans="1:14">
      <c r="A1682" s="754" t="s">
        <v>174</v>
      </c>
      <c r="B1682" s="18"/>
      <c r="C1682" s="18">
        <v>0</v>
      </c>
      <c r="D1682" s="18"/>
      <c r="E1682" s="18"/>
      <c r="F1682" s="18"/>
      <c r="G1682" s="18"/>
      <c r="H1682" s="18"/>
      <c r="I1682" s="18"/>
      <c r="J1682" s="18"/>
      <c r="K1682" s="18"/>
      <c r="L1682" s="18"/>
      <c r="M1682" s="18"/>
      <c r="N1682" s="18">
        <v>0</v>
      </c>
    </row>
    <row r="1683" spans="1:14">
      <c r="A1683" s="489" t="s">
        <v>1755</v>
      </c>
      <c r="B1683" s="18"/>
      <c r="C1683" s="18">
        <v>2932668</v>
      </c>
      <c r="D1683" s="18"/>
      <c r="E1683" s="18"/>
      <c r="F1683" s="18"/>
      <c r="G1683" s="18"/>
      <c r="H1683" s="18"/>
      <c r="I1683" s="18"/>
      <c r="J1683" s="18"/>
      <c r="K1683" s="18"/>
      <c r="L1683" s="18"/>
      <c r="M1683" s="18"/>
      <c r="N1683" s="18">
        <v>2932668</v>
      </c>
    </row>
    <row r="1684" spans="1:14">
      <c r="A1684" s="489" t="s">
        <v>1545</v>
      </c>
      <c r="B1684" s="18"/>
      <c r="C1684" s="18">
        <v>6290107</v>
      </c>
      <c r="D1684" s="18"/>
      <c r="E1684" s="18"/>
      <c r="F1684" s="18"/>
      <c r="G1684" s="18"/>
      <c r="H1684" s="18"/>
      <c r="I1684" s="18"/>
      <c r="J1684" s="18"/>
      <c r="K1684" s="18"/>
      <c r="L1684" s="18"/>
      <c r="M1684" s="18"/>
      <c r="N1684" s="18">
        <v>6290107</v>
      </c>
    </row>
    <row r="1685" spans="1:14">
      <c r="A1685" s="489" t="s">
        <v>1335</v>
      </c>
      <c r="B1685" s="18"/>
      <c r="C1685" s="18">
        <v>300000</v>
      </c>
      <c r="D1685" s="18"/>
      <c r="E1685" s="18"/>
      <c r="F1685" s="18"/>
      <c r="G1685" s="18"/>
      <c r="H1685" s="18"/>
      <c r="I1685" s="18"/>
      <c r="J1685" s="18"/>
      <c r="K1685" s="18"/>
      <c r="L1685" s="18"/>
      <c r="M1685" s="18"/>
      <c r="N1685" s="18">
        <v>300000</v>
      </c>
    </row>
    <row r="1686" spans="1:14">
      <c r="A1686" s="489" t="s">
        <v>1125</v>
      </c>
      <c r="B1686" s="18"/>
      <c r="C1686" s="18">
        <v>0</v>
      </c>
      <c r="D1686" s="18"/>
      <c r="E1686" s="18"/>
      <c r="F1686" s="18"/>
      <c r="G1686" s="18"/>
      <c r="H1686" s="18"/>
      <c r="I1686" s="18"/>
      <c r="J1686" s="18"/>
      <c r="K1686" s="18"/>
      <c r="L1686" s="18"/>
      <c r="M1686" s="18"/>
      <c r="N1686" s="18">
        <v>0</v>
      </c>
    </row>
    <row r="1687" spans="1:14">
      <c r="A1687" s="489" t="s">
        <v>915</v>
      </c>
      <c r="B1687" s="18"/>
      <c r="C1687" s="18">
        <v>0</v>
      </c>
      <c r="D1687" s="18"/>
      <c r="E1687" s="18"/>
      <c r="F1687" s="18"/>
      <c r="G1687" s="18"/>
      <c r="H1687" s="18"/>
      <c r="I1687" s="18"/>
      <c r="J1687" s="18"/>
      <c r="K1687" s="18"/>
      <c r="L1687" s="18"/>
      <c r="M1687" s="18"/>
      <c r="N1687" s="18">
        <v>0</v>
      </c>
    </row>
    <row r="1688" spans="1:14">
      <c r="A1688" s="347" t="s">
        <v>1926</v>
      </c>
      <c r="B1688" s="18"/>
      <c r="C1688" s="18">
        <v>2932668</v>
      </c>
      <c r="D1688" s="18"/>
      <c r="E1688" s="18"/>
      <c r="F1688" s="18"/>
      <c r="G1688" s="18"/>
      <c r="H1688" s="18"/>
      <c r="I1688" s="18"/>
      <c r="J1688" s="18"/>
      <c r="K1688" s="18"/>
      <c r="L1688" s="18"/>
      <c r="M1688" s="18"/>
      <c r="N1688" s="18">
        <v>2932668</v>
      </c>
    </row>
    <row r="1689" spans="1:14">
      <c r="A1689" s="347" t="s">
        <v>1716</v>
      </c>
      <c r="B1689" s="18"/>
      <c r="C1689" s="18">
        <v>6290107</v>
      </c>
      <c r="D1689" s="18"/>
      <c r="E1689" s="18"/>
      <c r="F1689" s="18"/>
      <c r="G1689" s="18"/>
      <c r="H1689" s="18"/>
      <c r="I1689" s="18"/>
      <c r="J1689" s="18"/>
      <c r="K1689" s="18"/>
      <c r="L1689" s="18"/>
      <c r="M1689" s="18"/>
      <c r="N1689" s="18">
        <v>6290107</v>
      </c>
    </row>
    <row r="1690" spans="1:14">
      <c r="A1690" s="347" t="s">
        <v>1506</v>
      </c>
      <c r="B1690" s="18"/>
      <c r="C1690" s="18">
        <v>300000</v>
      </c>
      <c r="D1690" s="18"/>
      <c r="E1690" s="18"/>
      <c r="F1690" s="18"/>
      <c r="G1690" s="18"/>
      <c r="H1690" s="18"/>
      <c r="I1690" s="18"/>
      <c r="J1690" s="18"/>
      <c r="K1690" s="18"/>
      <c r="L1690" s="18"/>
      <c r="M1690" s="18"/>
      <c r="N1690" s="18">
        <v>300000</v>
      </c>
    </row>
    <row r="1691" spans="1:14">
      <c r="A1691" s="347" t="s">
        <v>1296</v>
      </c>
      <c r="B1691" s="18"/>
      <c r="C1691" s="18">
        <v>0</v>
      </c>
      <c r="D1691" s="18"/>
      <c r="E1691" s="18"/>
      <c r="F1691" s="18"/>
      <c r="G1691" s="18"/>
      <c r="H1691" s="18"/>
      <c r="I1691" s="18"/>
      <c r="J1691" s="18"/>
      <c r="K1691" s="18"/>
      <c r="L1691" s="18"/>
      <c r="M1691" s="18"/>
      <c r="N1691" s="18">
        <v>0</v>
      </c>
    </row>
    <row r="1692" spans="1:14">
      <c r="A1692" s="347" t="s">
        <v>1086</v>
      </c>
      <c r="B1692" s="18"/>
      <c r="C1692" s="18">
        <v>0</v>
      </c>
      <c r="D1692" s="18"/>
      <c r="E1692" s="18"/>
      <c r="F1692" s="18"/>
      <c r="G1692" s="18"/>
      <c r="H1692" s="18"/>
      <c r="I1692" s="18"/>
      <c r="J1692" s="18"/>
      <c r="K1692" s="18"/>
      <c r="L1692" s="18"/>
      <c r="M1692" s="18"/>
      <c r="N1692" s="18">
        <v>0</v>
      </c>
    </row>
    <row r="1693" spans="1:14">
      <c r="A1693" s="19" t="s">
        <v>1927</v>
      </c>
      <c r="B1693" s="18"/>
      <c r="C1693" s="18">
        <v>2932668</v>
      </c>
      <c r="D1693" s="18"/>
      <c r="E1693" s="18"/>
      <c r="F1693" s="18"/>
      <c r="G1693" s="18"/>
      <c r="H1693" s="18"/>
      <c r="I1693" s="18"/>
      <c r="J1693" s="18"/>
      <c r="K1693" s="18"/>
      <c r="L1693" s="18"/>
      <c r="M1693" s="18"/>
      <c r="N1693" s="18">
        <v>2932668</v>
      </c>
    </row>
    <row r="1694" spans="1:14">
      <c r="A1694" s="19" t="s">
        <v>1717</v>
      </c>
      <c r="B1694" s="18"/>
      <c r="C1694" s="18">
        <v>6290107</v>
      </c>
      <c r="D1694" s="18"/>
      <c r="E1694" s="18"/>
      <c r="F1694" s="18"/>
      <c r="G1694" s="18"/>
      <c r="H1694" s="18"/>
      <c r="I1694" s="18"/>
      <c r="J1694" s="18"/>
      <c r="K1694" s="18"/>
      <c r="L1694" s="18"/>
      <c r="M1694" s="18"/>
      <c r="N1694" s="18">
        <v>6290107</v>
      </c>
    </row>
    <row r="1695" spans="1:14">
      <c r="A1695" s="19" t="s">
        <v>1507</v>
      </c>
      <c r="B1695" s="18"/>
      <c r="C1695" s="18">
        <v>300000</v>
      </c>
      <c r="D1695" s="18"/>
      <c r="E1695" s="18"/>
      <c r="F1695" s="18"/>
      <c r="G1695" s="18"/>
      <c r="H1695" s="18"/>
      <c r="I1695" s="18"/>
      <c r="J1695" s="18"/>
      <c r="K1695" s="18"/>
      <c r="L1695" s="18"/>
      <c r="M1695" s="18"/>
      <c r="N1695" s="18">
        <v>300000</v>
      </c>
    </row>
    <row r="1696" spans="1:14">
      <c r="A1696" s="19" t="s">
        <v>1297</v>
      </c>
      <c r="B1696" s="18"/>
      <c r="C1696" s="18">
        <v>0</v>
      </c>
      <c r="D1696" s="18"/>
      <c r="E1696" s="18"/>
      <c r="F1696" s="18"/>
      <c r="G1696" s="18"/>
      <c r="H1696" s="18"/>
      <c r="I1696" s="18"/>
      <c r="J1696" s="18"/>
      <c r="K1696" s="18"/>
      <c r="L1696" s="18"/>
      <c r="M1696" s="18"/>
      <c r="N1696" s="18">
        <v>0</v>
      </c>
    </row>
    <row r="1697" spans="1:14">
      <c r="A1697" s="19" t="s">
        <v>1087</v>
      </c>
      <c r="B1697" s="18"/>
      <c r="C1697" s="18">
        <v>0</v>
      </c>
      <c r="D1697" s="18"/>
      <c r="E1697" s="18"/>
      <c r="F1697" s="18"/>
      <c r="G1697" s="18"/>
      <c r="H1697" s="18"/>
      <c r="I1697" s="18"/>
      <c r="J1697" s="18"/>
      <c r="K1697" s="18"/>
      <c r="L1697" s="18"/>
      <c r="M1697" s="18"/>
      <c r="N1697" s="18">
        <v>0</v>
      </c>
    </row>
    <row r="1698" spans="1:14">
      <c r="A1698" s="4" t="s">
        <v>1928</v>
      </c>
      <c r="B1698" s="18"/>
      <c r="C1698" s="18">
        <v>2932668</v>
      </c>
      <c r="D1698" s="18"/>
      <c r="E1698" s="18"/>
      <c r="F1698" s="18"/>
      <c r="G1698" s="18"/>
      <c r="H1698" s="18"/>
      <c r="I1698" s="18"/>
      <c r="J1698" s="18"/>
      <c r="K1698" s="18"/>
      <c r="L1698" s="18"/>
      <c r="M1698" s="18"/>
      <c r="N1698" s="18">
        <v>2932668</v>
      </c>
    </row>
    <row r="1699" spans="1:14">
      <c r="A1699" s="4" t="s">
        <v>1718</v>
      </c>
      <c r="B1699" s="18"/>
      <c r="C1699" s="18">
        <v>6290107</v>
      </c>
      <c r="D1699" s="18"/>
      <c r="E1699" s="18"/>
      <c r="F1699" s="18"/>
      <c r="G1699" s="18"/>
      <c r="H1699" s="18"/>
      <c r="I1699" s="18"/>
      <c r="J1699" s="18"/>
      <c r="K1699" s="18"/>
      <c r="L1699" s="18"/>
      <c r="M1699" s="18"/>
      <c r="N1699" s="18">
        <v>6290107</v>
      </c>
    </row>
    <row r="1700" spans="1:14">
      <c r="A1700" s="4" t="s">
        <v>1508</v>
      </c>
      <c r="B1700" s="18"/>
      <c r="C1700" s="18">
        <v>300000</v>
      </c>
      <c r="D1700" s="18"/>
      <c r="E1700" s="18"/>
      <c r="F1700" s="18"/>
      <c r="G1700" s="18"/>
      <c r="H1700" s="18"/>
      <c r="I1700" s="18"/>
      <c r="J1700" s="18"/>
      <c r="K1700" s="18"/>
      <c r="L1700" s="18"/>
      <c r="M1700" s="18"/>
      <c r="N1700" s="18">
        <v>300000</v>
      </c>
    </row>
    <row r="1701" spans="1:14">
      <c r="A1701" s="4" t="s">
        <v>1298</v>
      </c>
      <c r="B1701" s="18"/>
      <c r="C1701" s="18">
        <v>0</v>
      </c>
      <c r="D1701" s="18"/>
      <c r="E1701" s="18"/>
      <c r="F1701" s="18"/>
      <c r="G1701" s="18"/>
      <c r="H1701" s="18"/>
      <c r="I1701" s="18"/>
      <c r="J1701" s="18"/>
      <c r="K1701" s="18"/>
      <c r="L1701" s="18"/>
      <c r="M1701" s="18"/>
      <c r="N1701" s="18">
        <v>0</v>
      </c>
    </row>
    <row r="1702" spans="1:14">
      <c r="A1702" s="4" t="s">
        <v>1088</v>
      </c>
      <c r="B1702" s="18"/>
      <c r="C1702" s="18">
        <v>0</v>
      </c>
      <c r="D1702" s="18"/>
      <c r="E1702" s="18"/>
      <c r="F1702" s="18"/>
      <c r="G1702" s="18"/>
      <c r="H1702" s="18"/>
      <c r="I1702" s="18"/>
      <c r="J1702" s="18"/>
      <c r="K1702" s="18"/>
      <c r="L1702" s="18"/>
      <c r="M1702" s="18"/>
      <c r="N1702" s="18">
        <v>0</v>
      </c>
    </row>
    <row r="1703" spans="1:14">
      <c r="A1703" s="4">
        <v>2943213.0373618677</v>
      </c>
      <c r="B1703" s="18"/>
      <c r="C1703" s="18"/>
      <c r="D1703" s="18"/>
      <c r="E1703" s="18"/>
      <c r="F1703" s="18"/>
      <c r="G1703" s="18"/>
      <c r="H1703" s="18"/>
      <c r="I1703" s="18"/>
      <c r="J1703" s="18"/>
      <c r="K1703" s="18"/>
      <c r="L1703" s="18"/>
      <c r="M1703" s="18"/>
      <c r="N1703" s="18"/>
    </row>
    <row r="1704" spans="1:14">
      <c r="A1704" s="19">
        <v>700000</v>
      </c>
      <c r="B1704" s="18"/>
      <c r="C1704" s="18"/>
      <c r="D1704" s="18"/>
      <c r="E1704" s="18"/>
      <c r="F1704" s="18"/>
      <c r="G1704" s="18"/>
      <c r="H1704" s="18"/>
      <c r="I1704" s="18"/>
      <c r="J1704" s="18"/>
      <c r="K1704" s="18"/>
      <c r="L1704" s="18"/>
      <c r="M1704" s="18"/>
      <c r="N1704" s="18"/>
    </row>
    <row r="1705" spans="1:14">
      <c r="A1705" s="347">
        <v>5336445</v>
      </c>
      <c r="B1705" s="18"/>
      <c r="C1705" s="18"/>
      <c r="D1705" s="18"/>
      <c r="E1705" s="18"/>
      <c r="F1705" s="18"/>
      <c r="G1705" s="18"/>
      <c r="H1705" s="18"/>
      <c r="I1705" s="18"/>
      <c r="J1705" s="18"/>
      <c r="K1705" s="18"/>
      <c r="L1705" s="18"/>
      <c r="M1705" s="18"/>
      <c r="N1705" s="18"/>
    </row>
    <row r="1706" spans="1:14">
      <c r="A1706" s="489">
        <v>101837</v>
      </c>
      <c r="B1706" s="18"/>
      <c r="C1706" s="18"/>
      <c r="D1706" s="18"/>
      <c r="E1706" s="18"/>
      <c r="F1706" s="18"/>
      <c r="G1706" s="18"/>
      <c r="H1706" s="18"/>
      <c r="I1706" s="18"/>
      <c r="J1706" s="18"/>
      <c r="K1706" s="18"/>
      <c r="L1706" s="18"/>
      <c r="M1706" s="18"/>
      <c r="N1706" s="18"/>
    </row>
    <row r="1707" spans="1:14">
      <c r="A1707" s="753">
        <v>0</v>
      </c>
      <c r="B1707" s="18"/>
      <c r="C1707" s="18"/>
      <c r="D1707" s="18"/>
      <c r="E1707" s="18"/>
      <c r="F1707" s="18"/>
      <c r="G1707" s="18"/>
      <c r="H1707" s="18"/>
      <c r="I1707" s="18"/>
      <c r="J1707" s="18"/>
      <c r="K1707" s="18"/>
      <c r="L1707" s="18"/>
      <c r="M1707" s="18"/>
      <c r="N1707" s="18"/>
    </row>
    <row r="1708" spans="1:14">
      <c r="A1708" s="754" t="s">
        <v>898</v>
      </c>
      <c r="B1708" s="18"/>
      <c r="C1708" s="18"/>
      <c r="D1708" s="18"/>
      <c r="E1708" s="18"/>
      <c r="F1708" s="18"/>
      <c r="G1708" s="18"/>
      <c r="H1708" s="18">
        <v>2943213.0373618677</v>
      </c>
      <c r="I1708" s="18"/>
      <c r="J1708" s="18"/>
      <c r="K1708" s="18"/>
      <c r="L1708" s="18"/>
      <c r="M1708" s="18"/>
      <c r="N1708" s="18">
        <v>2943213.0373618677</v>
      </c>
    </row>
    <row r="1709" spans="1:14">
      <c r="A1709" s="754" t="s">
        <v>901</v>
      </c>
      <c r="B1709" s="18"/>
      <c r="C1709" s="18"/>
      <c r="D1709" s="18"/>
      <c r="E1709" s="18"/>
      <c r="F1709" s="18"/>
      <c r="G1709" s="18"/>
      <c r="H1709" s="18">
        <v>5336445</v>
      </c>
      <c r="I1709" s="18"/>
      <c r="J1709" s="18"/>
      <c r="K1709" s="18"/>
      <c r="L1709" s="18"/>
      <c r="M1709" s="18"/>
      <c r="N1709" s="18">
        <v>5336445</v>
      </c>
    </row>
    <row r="1710" spans="1:14">
      <c r="A1710" s="754" t="s">
        <v>903</v>
      </c>
      <c r="B1710" s="18"/>
      <c r="C1710" s="18"/>
      <c r="D1710" s="18"/>
      <c r="E1710" s="18"/>
      <c r="F1710" s="18"/>
      <c r="G1710" s="18"/>
      <c r="H1710" s="18">
        <v>700000</v>
      </c>
      <c r="I1710" s="18"/>
      <c r="J1710" s="18"/>
      <c r="K1710" s="18"/>
      <c r="L1710" s="18"/>
      <c r="M1710" s="18"/>
      <c r="N1710" s="18">
        <v>700000</v>
      </c>
    </row>
    <row r="1711" spans="1:14">
      <c r="A1711" s="754" t="s">
        <v>905</v>
      </c>
      <c r="B1711" s="18"/>
      <c r="C1711" s="18"/>
      <c r="D1711" s="18"/>
      <c r="E1711" s="18"/>
      <c r="F1711" s="18"/>
      <c r="G1711" s="18"/>
      <c r="H1711" s="18">
        <v>101837</v>
      </c>
      <c r="I1711" s="18"/>
      <c r="J1711" s="18"/>
      <c r="K1711" s="18"/>
      <c r="L1711" s="18"/>
      <c r="M1711" s="18"/>
      <c r="N1711" s="18">
        <v>101837</v>
      </c>
    </row>
    <row r="1712" spans="1:14">
      <c r="A1712" s="754" t="s">
        <v>174</v>
      </c>
      <c r="B1712" s="18"/>
      <c r="C1712" s="18"/>
      <c r="D1712" s="18"/>
      <c r="E1712" s="18"/>
      <c r="F1712" s="18"/>
      <c r="G1712" s="18"/>
      <c r="H1712" s="18">
        <v>0</v>
      </c>
      <c r="I1712" s="18"/>
      <c r="J1712" s="18"/>
      <c r="K1712" s="18"/>
      <c r="L1712" s="18"/>
      <c r="M1712" s="18"/>
      <c r="N1712" s="18">
        <v>0</v>
      </c>
    </row>
    <row r="1713" spans="1:14">
      <c r="A1713" s="489" t="s">
        <v>1929</v>
      </c>
      <c r="B1713" s="18"/>
      <c r="C1713" s="18"/>
      <c r="D1713" s="18"/>
      <c r="E1713" s="18"/>
      <c r="F1713" s="18"/>
      <c r="G1713" s="18"/>
      <c r="H1713" s="18">
        <v>2943213.0373618677</v>
      </c>
      <c r="I1713" s="18"/>
      <c r="J1713" s="18"/>
      <c r="K1713" s="18"/>
      <c r="L1713" s="18"/>
      <c r="M1713" s="18"/>
      <c r="N1713" s="18">
        <v>2943213.0373618677</v>
      </c>
    </row>
    <row r="1714" spans="1:14">
      <c r="A1714" s="489" t="s">
        <v>1719</v>
      </c>
      <c r="B1714" s="18"/>
      <c r="C1714" s="18"/>
      <c r="D1714" s="18"/>
      <c r="E1714" s="18"/>
      <c r="F1714" s="18"/>
      <c r="G1714" s="18"/>
      <c r="H1714" s="18">
        <v>5336445</v>
      </c>
      <c r="I1714" s="18"/>
      <c r="J1714" s="18"/>
      <c r="K1714" s="18"/>
      <c r="L1714" s="18"/>
      <c r="M1714" s="18"/>
      <c r="N1714" s="18">
        <v>5336445</v>
      </c>
    </row>
    <row r="1715" spans="1:14">
      <c r="A1715" s="489" t="s">
        <v>1509</v>
      </c>
      <c r="B1715" s="18"/>
      <c r="C1715" s="18"/>
      <c r="D1715" s="18"/>
      <c r="E1715" s="18"/>
      <c r="F1715" s="18"/>
      <c r="G1715" s="18"/>
      <c r="H1715" s="18">
        <v>700000</v>
      </c>
      <c r="I1715" s="18"/>
      <c r="J1715" s="18"/>
      <c r="K1715" s="18"/>
      <c r="L1715" s="18"/>
      <c r="M1715" s="18"/>
      <c r="N1715" s="18">
        <v>700000</v>
      </c>
    </row>
    <row r="1716" spans="1:14">
      <c r="A1716" s="489" t="s">
        <v>1299</v>
      </c>
      <c r="B1716" s="18"/>
      <c r="C1716" s="18"/>
      <c r="D1716" s="18"/>
      <c r="E1716" s="18"/>
      <c r="F1716" s="18"/>
      <c r="G1716" s="18"/>
      <c r="H1716" s="18">
        <v>101837</v>
      </c>
      <c r="I1716" s="18"/>
      <c r="J1716" s="18"/>
      <c r="K1716" s="18"/>
      <c r="L1716" s="18"/>
      <c r="M1716" s="18"/>
      <c r="N1716" s="18">
        <v>101837</v>
      </c>
    </row>
    <row r="1717" spans="1:14">
      <c r="A1717" s="489" t="s">
        <v>1089</v>
      </c>
      <c r="B1717" s="18"/>
      <c r="C1717" s="18"/>
      <c r="D1717" s="18"/>
      <c r="E1717" s="18"/>
      <c r="F1717" s="18"/>
      <c r="G1717" s="18"/>
      <c r="H1717" s="18">
        <v>0</v>
      </c>
      <c r="I1717" s="18"/>
      <c r="J1717" s="18"/>
      <c r="K1717" s="18"/>
      <c r="L1717" s="18"/>
      <c r="M1717" s="18"/>
      <c r="N1717" s="18">
        <v>0</v>
      </c>
    </row>
    <row r="1718" spans="1:14">
      <c r="A1718" s="347" t="s">
        <v>1930</v>
      </c>
      <c r="B1718" s="18"/>
      <c r="C1718" s="18"/>
      <c r="D1718" s="18"/>
      <c r="E1718" s="18"/>
      <c r="F1718" s="18"/>
      <c r="G1718" s="18"/>
      <c r="H1718" s="18">
        <v>2943213.0373618677</v>
      </c>
      <c r="I1718" s="18"/>
      <c r="J1718" s="18"/>
      <c r="K1718" s="18"/>
      <c r="L1718" s="18"/>
      <c r="M1718" s="18"/>
      <c r="N1718" s="18">
        <v>2943213.0373618677</v>
      </c>
    </row>
    <row r="1719" spans="1:14">
      <c r="A1719" s="347" t="s">
        <v>1720</v>
      </c>
      <c r="B1719" s="18"/>
      <c r="C1719" s="18"/>
      <c r="D1719" s="18"/>
      <c r="E1719" s="18"/>
      <c r="F1719" s="18"/>
      <c r="G1719" s="18"/>
      <c r="H1719" s="18">
        <v>5336445</v>
      </c>
      <c r="I1719" s="18"/>
      <c r="J1719" s="18"/>
      <c r="K1719" s="18"/>
      <c r="L1719" s="18"/>
      <c r="M1719" s="18"/>
      <c r="N1719" s="18">
        <v>5336445</v>
      </c>
    </row>
    <row r="1720" spans="1:14">
      <c r="A1720" s="347" t="s">
        <v>1510</v>
      </c>
      <c r="B1720" s="18"/>
      <c r="C1720" s="18"/>
      <c r="D1720" s="18"/>
      <c r="E1720" s="18"/>
      <c r="F1720" s="18"/>
      <c r="G1720" s="18"/>
      <c r="H1720" s="18">
        <v>700000</v>
      </c>
      <c r="I1720" s="18"/>
      <c r="J1720" s="18"/>
      <c r="K1720" s="18"/>
      <c r="L1720" s="18"/>
      <c r="M1720" s="18"/>
      <c r="N1720" s="18">
        <v>700000</v>
      </c>
    </row>
    <row r="1721" spans="1:14">
      <c r="A1721" s="347" t="s">
        <v>1300</v>
      </c>
      <c r="B1721" s="18"/>
      <c r="C1721" s="18"/>
      <c r="D1721" s="18"/>
      <c r="E1721" s="18"/>
      <c r="F1721" s="18"/>
      <c r="G1721" s="18"/>
      <c r="H1721" s="18">
        <v>101837</v>
      </c>
      <c r="I1721" s="18"/>
      <c r="J1721" s="18"/>
      <c r="K1721" s="18"/>
      <c r="L1721" s="18"/>
      <c r="M1721" s="18"/>
      <c r="N1721" s="18">
        <v>101837</v>
      </c>
    </row>
    <row r="1722" spans="1:14">
      <c r="A1722" s="347" t="s">
        <v>1090</v>
      </c>
      <c r="B1722" s="18"/>
      <c r="C1722" s="18"/>
      <c r="D1722" s="18"/>
      <c r="E1722" s="18"/>
      <c r="F1722" s="18"/>
      <c r="G1722" s="18"/>
      <c r="H1722" s="18">
        <v>0</v>
      </c>
      <c r="I1722" s="18"/>
      <c r="J1722" s="18"/>
      <c r="K1722" s="18"/>
      <c r="L1722" s="18"/>
      <c r="M1722" s="18"/>
      <c r="N1722" s="18">
        <v>0</v>
      </c>
    </row>
    <row r="1723" spans="1:14">
      <c r="A1723" s="19" t="s">
        <v>1845</v>
      </c>
      <c r="B1723" s="18"/>
      <c r="C1723" s="18"/>
      <c r="D1723" s="18"/>
      <c r="E1723" s="18"/>
      <c r="F1723" s="18"/>
      <c r="G1723" s="18"/>
      <c r="H1723" s="18">
        <v>2943213.0373618677</v>
      </c>
      <c r="I1723" s="18"/>
      <c r="J1723" s="18"/>
      <c r="K1723" s="18"/>
      <c r="L1723" s="18"/>
      <c r="M1723" s="18"/>
      <c r="N1723" s="18">
        <v>2943213.0373618677</v>
      </c>
    </row>
    <row r="1724" spans="1:14">
      <c r="A1724" s="19" t="s">
        <v>1635</v>
      </c>
      <c r="B1724" s="18"/>
      <c r="C1724" s="18"/>
      <c r="D1724" s="18"/>
      <c r="E1724" s="18"/>
      <c r="F1724" s="18"/>
      <c r="G1724" s="18"/>
      <c r="H1724" s="18">
        <v>5336445</v>
      </c>
      <c r="I1724" s="18"/>
      <c r="J1724" s="18"/>
      <c r="K1724" s="18"/>
      <c r="L1724" s="18"/>
      <c r="M1724" s="18"/>
      <c r="N1724" s="18">
        <v>5336445</v>
      </c>
    </row>
    <row r="1725" spans="1:14">
      <c r="A1725" s="19" t="s">
        <v>1425</v>
      </c>
      <c r="B1725" s="18"/>
      <c r="C1725" s="18"/>
      <c r="D1725" s="18"/>
      <c r="E1725" s="18"/>
      <c r="F1725" s="18"/>
      <c r="G1725" s="18"/>
      <c r="H1725" s="18">
        <v>700000</v>
      </c>
      <c r="I1725" s="18"/>
      <c r="J1725" s="18"/>
      <c r="K1725" s="18"/>
      <c r="L1725" s="18"/>
      <c r="M1725" s="18"/>
      <c r="N1725" s="18">
        <v>700000</v>
      </c>
    </row>
    <row r="1726" spans="1:14">
      <c r="A1726" s="19" t="s">
        <v>1215</v>
      </c>
      <c r="B1726" s="18"/>
      <c r="C1726" s="18"/>
      <c r="D1726" s="18"/>
      <c r="E1726" s="18"/>
      <c r="F1726" s="18"/>
      <c r="G1726" s="18"/>
      <c r="H1726" s="18">
        <v>101837</v>
      </c>
      <c r="I1726" s="18"/>
      <c r="J1726" s="18"/>
      <c r="K1726" s="18"/>
      <c r="L1726" s="18"/>
      <c r="M1726" s="18"/>
      <c r="N1726" s="18">
        <v>101837</v>
      </c>
    </row>
    <row r="1727" spans="1:14">
      <c r="A1727" s="19" t="s">
        <v>1005</v>
      </c>
      <c r="B1727" s="18"/>
      <c r="C1727" s="18"/>
      <c r="D1727" s="18"/>
      <c r="E1727" s="18"/>
      <c r="F1727" s="18"/>
      <c r="G1727" s="18"/>
      <c r="H1727" s="18">
        <v>0</v>
      </c>
      <c r="I1727" s="18"/>
      <c r="J1727" s="18"/>
      <c r="K1727" s="18"/>
      <c r="L1727" s="18"/>
      <c r="M1727" s="18"/>
      <c r="N1727" s="18">
        <v>0</v>
      </c>
    </row>
    <row r="1728" spans="1:14">
      <c r="A1728" s="4" t="s">
        <v>1931</v>
      </c>
      <c r="B1728" s="18"/>
      <c r="C1728" s="18"/>
      <c r="D1728" s="18"/>
      <c r="E1728" s="18"/>
      <c r="F1728" s="18"/>
      <c r="G1728" s="18"/>
      <c r="H1728" s="18">
        <v>2943213.0373618677</v>
      </c>
      <c r="I1728" s="18"/>
      <c r="J1728" s="18"/>
      <c r="K1728" s="18"/>
      <c r="L1728" s="18"/>
      <c r="M1728" s="18"/>
      <c r="N1728" s="18">
        <v>2943213.0373618677</v>
      </c>
    </row>
    <row r="1729" spans="1:14">
      <c r="A1729" s="4" t="s">
        <v>1721</v>
      </c>
      <c r="B1729" s="18"/>
      <c r="C1729" s="18"/>
      <c r="D1729" s="18"/>
      <c r="E1729" s="18"/>
      <c r="F1729" s="18"/>
      <c r="G1729" s="18"/>
      <c r="H1729" s="18">
        <v>5336445</v>
      </c>
      <c r="I1729" s="18"/>
      <c r="J1729" s="18"/>
      <c r="K1729" s="18"/>
      <c r="L1729" s="18"/>
      <c r="M1729" s="18"/>
      <c r="N1729" s="18">
        <v>5336445</v>
      </c>
    </row>
    <row r="1730" spans="1:14">
      <c r="A1730" s="4" t="s">
        <v>1511</v>
      </c>
      <c r="B1730" s="18"/>
      <c r="C1730" s="18"/>
      <c r="D1730" s="18"/>
      <c r="E1730" s="18"/>
      <c r="F1730" s="18"/>
      <c r="G1730" s="18"/>
      <c r="H1730" s="18">
        <v>700000</v>
      </c>
      <c r="I1730" s="18"/>
      <c r="J1730" s="18"/>
      <c r="K1730" s="18"/>
      <c r="L1730" s="18"/>
      <c r="M1730" s="18"/>
      <c r="N1730" s="18">
        <v>700000</v>
      </c>
    </row>
    <row r="1731" spans="1:14">
      <c r="A1731" s="4" t="s">
        <v>1301</v>
      </c>
      <c r="B1731" s="18"/>
      <c r="C1731" s="18"/>
      <c r="D1731" s="18"/>
      <c r="E1731" s="18"/>
      <c r="F1731" s="18"/>
      <c r="G1731" s="18"/>
      <c r="H1731" s="18">
        <v>101837</v>
      </c>
      <c r="I1731" s="18"/>
      <c r="J1731" s="18"/>
      <c r="K1731" s="18"/>
      <c r="L1731" s="18"/>
      <c r="M1731" s="18"/>
      <c r="N1731" s="18">
        <v>101837</v>
      </c>
    </row>
    <row r="1732" spans="1:14">
      <c r="A1732" s="4" t="s">
        <v>1091</v>
      </c>
      <c r="B1732" s="18"/>
      <c r="C1732" s="18"/>
      <c r="D1732" s="18"/>
      <c r="E1732" s="18"/>
      <c r="F1732" s="18"/>
      <c r="G1732" s="18"/>
      <c r="H1732" s="18">
        <v>0</v>
      </c>
      <c r="I1732" s="18"/>
      <c r="J1732" s="18"/>
      <c r="K1732" s="18"/>
      <c r="L1732" s="18"/>
      <c r="M1732" s="18"/>
      <c r="N1732" s="18">
        <v>0</v>
      </c>
    </row>
    <row r="1733" spans="1:14">
      <c r="A1733" s="4">
        <v>3195831</v>
      </c>
      <c r="B1733" s="18"/>
      <c r="C1733" s="18"/>
      <c r="D1733" s="18"/>
      <c r="E1733" s="18"/>
      <c r="F1733" s="18"/>
      <c r="G1733" s="18"/>
      <c r="H1733" s="18"/>
      <c r="I1733" s="18"/>
      <c r="J1733" s="18"/>
      <c r="K1733" s="18"/>
      <c r="L1733" s="18"/>
      <c r="M1733" s="18"/>
      <c r="N1733" s="18"/>
    </row>
    <row r="1734" spans="1:14">
      <c r="A1734" s="19">
        <v>790394</v>
      </c>
      <c r="B1734" s="18"/>
      <c r="C1734" s="18"/>
      <c r="D1734" s="18"/>
      <c r="E1734" s="18"/>
      <c r="F1734" s="18"/>
      <c r="G1734" s="18"/>
      <c r="H1734" s="18"/>
      <c r="I1734" s="18"/>
      <c r="J1734" s="18"/>
      <c r="K1734" s="18"/>
      <c r="L1734" s="18"/>
      <c r="M1734" s="18"/>
      <c r="N1734" s="18"/>
    </row>
    <row r="1735" spans="1:14">
      <c r="A1735" s="347">
        <v>6112292.5499999998</v>
      </c>
      <c r="B1735" s="18"/>
      <c r="C1735" s="18"/>
      <c r="D1735" s="18"/>
      <c r="E1735" s="18"/>
      <c r="F1735" s="18"/>
      <c r="G1735" s="18"/>
      <c r="H1735" s="18"/>
      <c r="I1735" s="18"/>
      <c r="J1735" s="18"/>
      <c r="K1735" s="18"/>
      <c r="L1735" s="18"/>
      <c r="M1735" s="18"/>
      <c r="N1735" s="18"/>
    </row>
    <row r="1736" spans="1:14">
      <c r="A1736" s="489">
        <v>0</v>
      </c>
      <c r="B1736" s="18"/>
      <c r="C1736" s="18"/>
      <c r="D1736" s="18"/>
      <c r="E1736" s="18"/>
      <c r="F1736" s="18"/>
      <c r="G1736" s="18"/>
      <c r="H1736" s="18"/>
      <c r="I1736" s="18"/>
      <c r="J1736" s="18"/>
      <c r="K1736" s="18"/>
      <c r="L1736" s="18"/>
      <c r="M1736" s="18"/>
      <c r="N1736" s="18"/>
    </row>
    <row r="1737" spans="1:14">
      <c r="A1737" s="753">
        <v>224525.80721369086</v>
      </c>
      <c r="B1737" s="18"/>
      <c r="C1737" s="18"/>
      <c r="D1737" s="18"/>
      <c r="E1737" s="18"/>
      <c r="F1737" s="18"/>
      <c r="G1737" s="18"/>
      <c r="H1737" s="18"/>
      <c r="I1737" s="18"/>
      <c r="J1737" s="18"/>
      <c r="K1737" s="18"/>
      <c r="L1737" s="18"/>
      <c r="M1737" s="18"/>
      <c r="N1737" s="18"/>
    </row>
    <row r="1738" spans="1:14">
      <c r="A1738" s="754" t="s">
        <v>898</v>
      </c>
      <c r="B1738" s="18"/>
      <c r="C1738" s="18"/>
      <c r="D1738" s="18">
        <v>3195831</v>
      </c>
      <c r="E1738" s="18"/>
      <c r="F1738" s="18"/>
      <c r="G1738" s="18"/>
      <c r="H1738" s="18"/>
      <c r="I1738" s="18"/>
      <c r="J1738" s="18"/>
      <c r="K1738" s="18"/>
      <c r="L1738" s="18"/>
      <c r="M1738" s="18"/>
      <c r="N1738" s="18">
        <v>3195831</v>
      </c>
    </row>
    <row r="1739" spans="1:14">
      <c r="A1739" s="754" t="s">
        <v>901</v>
      </c>
      <c r="B1739" s="18"/>
      <c r="C1739" s="18"/>
      <c r="D1739" s="18">
        <v>6112292.5499999998</v>
      </c>
      <c r="E1739" s="18"/>
      <c r="F1739" s="18"/>
      <c r="G1739" s="18"/>
      <c r="H1739" s="18"/>
      <c r="I1739" s="18"/>
      <c r="J1739" s="18"/>
      <c r="K1739" s="18"/>
      <c r="L1739" s="18"/>
      <c r="M1739" s="18"/>
      <c r="N1739" s="18">
        <v>6112292.5499999998</v>
      </c>
    </row>
    <row r="1740" spans="1:14">
      <c r="A1740" s="754" t="s">
        <v>903</v>
      </c>
      <c r="B1740" s="18"/>
      <c r="C1740" s="18"/>
      <c r="D1740" s="18">
        <v>790394</v>
      </c>
      <c r="E1740" s="18"/>
      <c r="F1740" s="18"/>
      <c r="G1740" s="18"/>
      <c r="H1740" s="18"/>
      <c r="I1740" s="18"/>
      <c r="J1740" s="18"/>
      <c r="K1740" s="18"/>
      <c r="L1740" s="18"/>
      <c r="M1740" s="18"/>
      <c r="N1740" s="18">
        <v>790394</v>
      </c>
    </row>
    <row r="1741" spans="1:14">
      <c r="A1741" s="754" t="s">
        <v>905</v>
      </c>
      <c r="B1741" s="18"/>
      <c r="C1741" s="18"/>
      <c r="D1741" s="18">
        <v>0</v>
      </c>
      <c r="E1741" s="18"/>
      <c r="F1741" s="18"/>
      <c r="G1741" s="18"/>
      <c r="H1741" s="18"/>
      <c r="I1741" s="18"/>
      <c r="J1741" s="18"/>
      <c r="K1741" s="18"/>
      <c r="L1741" s="18"/>
      <c r="M1741" s="18"/>
      <c r="N1741" s="18">
        <v>0</v>
      </c>
    </row>
    <row r="1742" spans="1:14">
      <c r="A1742" s="754" t="s">
        <v>174</v>
      </c>
      <c r="B1742" s="18"/>
      <c r="C1742" s="18"/>
      <c r="D1742" s="18">
        <v>224525.80721369086</v>
      </c>
      <c r="E1742" s="18"/>
      <c r="F1742" s="18"/>
      <c r="G1742" s="18"/>
      <c r="H1742" s="18"/>
      <c r="I1742" s="18"/>
      <c r="J1742" s="18"/>
      <c r="K1742" s="18"/>
      <c r="L1742" s="18"/>
      <c r="M1742" s="18"/>
      <c r="N1742" s="18">
        <v>224525.80721369086</v>
      </c>
    </row>
    <row r="1743" spans="1:14">
      <c r="A1743" s="489" t="s">
        <v>1755</v>
      </c>
      <c r="B1743" s="18"/>
      <c r="C1743" s="18"/>
      <c r="D1743" s="18">
        <v>3195831</v>
      </c>
      <c r="E1743" s="18"/>
      <c r="F1743" s="18"/>
      <c r="G1743" s="18"/>
      <c r="H1743" s="18"/>
      <c r="I1743" s="18"/>
      <c r="J1743" s="18"/>
      <c r="K1743" s="18"/>
      <c r="L1743" s="18"/>
      <c r="M1743" s="18"/>
      <c r="N1743" s="18">
        <v>3195831</v>
      </c>
    </row>
    <row r="1744" spans="1:14">
      <c r="A1744" s="489" t="s">
        <v>1545</v>
      </c>
      <c r="B1744" s="18"/>
      <c r="C1744" s="18"/>
      <c r="D1744" s="18">
        <v>6112292.5499999998</v>
      </c>
      <c r="E1744" s="18"/>
      <c r="F1744" s="18"/>
      <c r="G1744" s="18"/>
      <c r="H1744" s="18"/>
      <c r="I1744" s="18"/>
      <c r="J1744" s="18"/>
      <c r="K1744" s="18"/>
      <c r="L1744" s="18"/>
      <c r="M1744" s="18"/>
      <c r="N1744" s="18">
        <v>6112292.5499999998</v>
      </c>
    </row>
    <row r="1745" spans="1:14">
      <c r="A1745" s="489" t="s">
        <v>1335</v>
      </c>
      <c r="B1745" s="18"/>
      <c r="C1745" s="18"/>
      <c r="D1745" s="18">
        <v>790394</v>
      </c>
      <c r="E1745" s="18"/>
      <c r="F1745" s="18"/>
      <c r="G1745" s="18"/>
      <c r="H1745" s="18"/>
      <c r="I1745" s="18"/>
      <c r="J1745" s="18"/>
      <c r="K1745" s="18"/>
      <c r="L1745" s="18"/>
      <c r="M1745" s="18"/>
      <c r="N1745" s="18">
        <v>790394</v>
      </c>
    </row>
    <row r="1746" spans="1:14">
      <c r="A1746" s="489" t="s">
        <v>1125</v>
      </c>
      <c r="B1746" s="18"/>
      <c r="C1746" s="18"/>
      <c r="D1746" s="18">
        <v>0</v>
      </c>
      <c r="E1746" s="18"/>
      <c r="F1746" s="18"/>
      <c r="G1746" s="18"/>
      <c r="H1746" s="18"/>
      <c r="I1746" s="18"/>
      <c r="J1746" s="18"/>
      <c r="K1746" s="18"/>
      <c r="L1746" s="18"/>
      <c r="M1746" s="18"/>
      <c r="N1746" s="18">
        <v>0</v>
      </c>
    </row>
    <row r="1747" spans="1:14">
      <c r="A1747" s="489" t="s">
        <v>915</v>
      </c>
      <c r="B1747" s="18"/>
      <c r="C1747" s="18"/>
      <c r="D1747" s="18">
        <v>224525.80721369086</v>
      </c>
      <c r="E1747" s="18"/>
      <c r="F1747" s="18"/>
      <c r="G1747" s="18"/>
      <c r="H1747" s="18"/>
      <c r="I1747" s="18"/>
      <c r="J1747" s="18"/>
      <c r="K1747" s="18"/>
      <c r="L1747" s="18"/>
      <c r="M1747" s="18"/>
      <c r="N1747" s="18">
        <v>224525.80721369086</v>
      </c>
    </row>
    <row r="1748" spans="1:14">
      <c r="A1748" s="347" t="s">
        <v>1932</v>
      </c>
      <c r="B1748" s="18"/>
      <c r="C1748" s="18"/>
      <c r="D1748" s="18">
        <v>3195831</v>
      </c>
      <c r="E1748" s="18"/>
      <c r="F1748" s="18"/>
      <c r="G1748" s="18"/>
      <c r="H1748" s="18"/>
      <c r="I1748" s="18"/>
      <c r="J1748" s="18"/>
      <c r="K1748" s="18"/>
      <c r="L1748" s="18"/>
      <c r="M1748" s="18"/>
      <c r="N1748" s="18">
        <v>3195831</v>
      </c>
    </row>
    <row r="1749" spans="1:14">
      <c r="A1749" s="347" t="s">
        <v>1722</v>
      </c>
      <c r="B1749" s="18"/>
      <c r="C1749" s="18"/>
      <c r="D1749" s="18">
        <v>6112292.5499999998</v>
      </c>
      <c r="E1749" s="18"/>
      <c r="F1749" s="18"/>
      <c r="G1749" s="18"/>
      <c r="H1749" s="18"/>
      <c r="I1749" s="18"/>
      <c r="J1749" s="18"/>
      <c r="K1749" s="18"/>
      <c r="L1749" s="18"/>
      <c r="M1749" s="18"/>
      <c r="N1749" s="18">
        <v>6112292.5499999998</v>
      </c>
    </row>
    <row r="1750" spans="1:14">
      <c r="A1750" s="347" t="s">
        <v>1512</v>
      </c>
      <c r="B1750" s="18"/>
      <c r="C1750" s="18"/>
      <c r="D1750" s="18">
        <v>790394</v>
      </c>
      <c r="E1750" s="18"/>
      <c r="F1750" s="18"/>
      <c r="G1750" s="18"/>
      <c r="H1750" s="18"/>
      <c r="I1750" s="18"/>
      <c r="J1750" s="18"/>
      <c r="K1750" s="18"/>
      <c r="L1750" s="18"/>
      <c r="M1750" s="18"/>
      <c r="N1750" s="18">
        <v>790394</v>
      </c>
    </row>
    <row r="1751" spans="1:14">
      <c r="A1751" s="347" t="s">
        <v>1302</v>
      </c>
      <c r="B1751" s="18"/>
      <c r="C1751" s="18"/>
      <c r="D1751" s="18">
        <v>0</v>
      </c>
      <c r="E1751" s="18"/>
      <c r="F1751" s="18"/>
      <c r="G1751" s="18"/>
      <c r="H1751" s="18"/>
      <c r="I1751" s="18"/>
      <c r="J1751" s="18"/>
      <c r="K1751" s="18"/>
      <c r="L1751" s="18"/>
      <c r="M1751" s="18"/>
      <c r="N1751" s="18">
        <v>0</v>
      </c>
    </row>
    <row r="1752" spans="1:14">
      <c r="A1752" s="347" t="s">
        <v>1092</v>
      </c>
      <c r="B1752" s="18"/>
      <c r="C1752" s="18"/>
      <c r="D1752" s="18">
        <v>224525.80721369086</v>
      </c>
      <c r="E1752" s="18"/>
      <c r="F1752" s="18"/>
      <c r="G1752" s="18"/>
      <c r="H1752" s="18"/>
      <c r="I1752" s="18"/>
      <c r="J1752" s="18"/>
      <c r="K1752" s="18"/>
      <c r="L1752" s="18"/>
      <c r="M1752" s="18"/>
      <c r="N1752" s="18">
        <v>224525.80721369086</v>
      </c>
    </row>
    <row r="1753" spans="1:14">
      <c r="A1753" s="19" t="s">
        <v>1933</v>
      </c>
      <c r="B1753" s="18"/>
      <c r="C1753" s="18"/>
      <c r="D1753" s="18">
        <v>3195831</v>
      </c>
      <c r="E1753" s="18"/>
      <c r="F1753" s="18"/>
      <c r="G1753" s="18"/>
      <c r="H1753" s="18"/>
      <c r="I1753" s="18"/>
      <c r="J1753" s="18"/>
      <c r="K1753" s="18"/>
      <c r="L1753" s="18"/>
      <c r="M1753" s="18"/>
      <c r="N1753" s="18">
        <v>3195831</v>
      </c>
    </row>
    <row r="1754" spans="1:14">
      <c r="A1754" s="19" t="s">
        <v>1723</v>
      </c>
      <c r="B1754" s="18"/>
      <c r="C1754" s="18"/>
      <c r="D1754" s="18">
        <v>6112292.5499999998</v>
      </c>
      <c r="E1754" s="18"/>
      <c r="F1754" s="18"/>
      <c r="G1754" s="18"/>
      <c r="H1754" s="18"/>
      <c r="I1754" s="18"/>
      <c r="J1754" s="18"/>
      <c r="K1754" s="18"/>
      <c r="L1754" s="18"/>
      <c r="M1754" s="18"/>
      <c r="N1754" s="18">
        <v>6112292.5499999998</v>
      </c>
    </row>
    <row r="1755" spans="1:14">
      <c r="A1755" s="19" t="s">
        <v>1513</v>
      </c>
      <c r="B1755" s="18"/>
      <c r="C1755" s="18"/>
      <c r="D1755" s="18">
        <v>790394</v>
      </c>
      <c r="E1755" s="18"/>
      <c r="F1755" s="18"/>
      <c r="G1755" s="18"/>
      <c r="H1755" s="18"/>
      <c r="I1755" s="18"/>
      <c r="J1755" s="18"/>
      <c r="K1755" s="18"/>
      <c r="L1755" s="18"/>
      <c r="M1755" s="18"/>
      <c r="N1755" s="18">
        <v>790394</v>
      </c>
    </row>
    <row r="1756" spans="1:14">
      <c r="A1756" s="19" t="s">
        <v>1303</v>
      </c>
      <c r="B1756" s="18"/>
      <c r="C1756" s="18"/>
      <c r="D1756" s="18">
        <v>0</v>
      </c>
      <c r="E1756" s="18"/>
      <c r="F1756" s="18"/>
      <c r="G1756" s="18"/>
      <c r="H1756" s="18"/>
      <c r="I1756" s="18"/>
      <c r="J1756" s="18"/>
      <c r="K1756" s="18"/>
      <c r="L1756" s="18"/>
      <c r="M1756" s="18"/>
      <c r="N1756" s="18">
        <v>0</v>
      </c>
    </row>
    <row r="1757" spans="1:14">
      <c r="A1757" s="19" t="s">
        <v>1093</v>
      </c>
      <c r="B1757" s="18"/>
      <c r="C1757" s="18"/>
      <c r="D1757" s="18">
        <v>224525.80721369086</v>
      </c>
      <c r="E1757" s="18"/>
      <c r="F1757" s="18"/>
      <c r="G1757" s="18"/>
      <c r="H1757" s="18"/>
      <c r="I1757" s="18"/>
      <c r="J1757" s="18"/>
      <c r="K1757" s="18"/>
      <c r="L1757" s="18"/>
      <c r="M1757" s="18"/>
      <c r="N1757" s="18">
        <v>224525.80721369086</v>
      </c>
    </row>
    <row r="1758" spans="1:14">
      <c r="A1758" s="4" t="s">
        <v>1934</v>
      </c>
      <c r="B1758" s="18"/>
      <c r="C1758" s="18"/>
      <c r="D1758" s="18">
        <v>3195831</v>
      </c>
      <c r="E1758" s="18"/>
      <c r="F1758" s="18"/>
      <c r="G1758" s="18"/>
      <c r="H1758" s="18"/>
      <c r="I1758" s="18"/>
      <c r="J1758" s="18"/>
      <c r="K1758" s="18"/>
      <c r="L1758" s="18"/>
      <c r="M1758" s="18"/>
      <c r="N1758" s="18">
        <v>3195831</v>
      </c>
    </row>
    <row r="1759" spans="1:14">
      <c r="A1759" s="4" t="s">
        <v>1724</v>
      </c>
      <c r="B1759" s="18"/>
      <c r="C1759" s="18"/>
      <c r="D1759" s="18">
        <v>6112292.5499999998</v>
      </c>
      <c r="E1759" s="18"/>
      <c r="F1759" s="18"/>
      <c r="G1759" s="18"/>
      <c r="H1759" s="18"/>
      <c r="I1759" s="18"/>
      <c r="J1759" s="18"/>
      <c r="K1759" s="18"/>
      <c r="L1759" s="18"/>
      <c r="M1759" s="18"/>
      <c r="N1759" s="18">
        <v>6112292.5499999998</v>
      </c>
    </row>
    <row r="1760" spans="1:14">
      <c r="A1760" s="4" t="s">
        <v>1514</v>
      </c>
      <c r="B1760" s="18"/>
      <c r="C1760" s="18"/>
      <c r="D1760" s="18">
        <v>790394</v>
      </c>
      <c r="E1760" s="18"/>
      <c r="F1760" s="18"/>
      <c r="G1760" s="18"/>
      <c r="H1760" s="18"/>
      <c r="I1760" s="18"/>
      <c r="J1760" s="18"/>
      <c r="K1760" s="18"/>
      <c r="L1760" s="18"/>
      <c r="M1760" s="18"/>
      <c r="N1760" s="18">
        <v>790394</v>
      </c>
    </row>
    <row r="1761" spans="1:14">
      <c r="A1761" s="4" t="s">
        <v>1304</v>
      </c>
      <c r="B1761" s="18"/>
      <c r="C1761" s="18"/>
      <c r="D1761" s="18">
        <v>0</v>
      </c>
      <c r="E1761" s="18"/>
      <c r="F1761" s="18"/>
      <c r="G1761" s="18"/>
      <c r="H1761" s="18"/>
      <c r="I1761" s="18"/>
      <c r="J1761" s="18"/>
      <c r="K1761" s="18"/>
      <c r="L1761" s="18"/>
      <c r="M1761" s="18"/>
      <c r="N1761" s="18">
        <v>0</v>
      </c>
    </row>
    <row r="1762" spans="1:14">
      <c r="A1762" s="4" t="s">
        <v>1094</v>
      </c>
      <c r="B1762" s="18"/>
      <c r="C1762" s="18"/>
      <c r="D1762" s="18">
        <v>224525.80721369086</v>
      </c>
      <c r="E1762" s="18"/>
      <c r="F1762" s="18"/>
      <c r="G1762" s="18"/>
      <c r="H1762" s="18"/>
      <c r="I1762" s="18"/>
      <c r="J1762" s="18"/>
      <c r="K1762" s="18"/>
      <c r="L1762" s="18"/>
      <c r="M1762" s="18"/>
      <c r="N1762" s="18">
        <v>224525.80721369086</v>
      </c>
    </row>
    <row r="1763" spans="1:14">
      <c r="A1763" s="4">
        <v>3263643</v>
      </c>
      <c r="B1763" s="18"/>
      <c r="C1763" s="18"/>
      <c r="D1763" s="18"/>
      <c r="E1763" s="18"/>
      <c r="F1763" s="18"/>
      <c r="G1763" s="18"/>
      <c r="H1763" s="18"/>
      <c r="I1763" s="18"/>
      <c r="J1763" s="18"/>
      <c r="K1763" s="18"/>
      <c r="L1763" s="18"/>
      <c r="M1763" s="18"/>
      <c r="N1763" s="18"/>
    </row>
    <row r="1764" spans="1:14">
      <c r="A1764" s="19">
        <v>1</v>
      </c>
      <c r="B1764" s="18"/>
      <c r="C1764" s="18"/>
      <c r="D1764" s="18"/>
      <c r="E1764" s="18"/>
      <c r="F1764" s="18"/>
      <c r="G1764" s="18"/>
      <c r="H1764" s="18"/>
      <c r="I1764" s="18"/>
      <c r="J1764" s="18"/>
      <c r="K1764" s="18"/>
      <c r="L1764" s="18"/>
      <c r="M1764" s="18"/>
      <c r="N1764" s="18"/>
    </row>
    <row r="1765" spans="1:14">
      <c r="A1765" s="347">
        <v>6429606.3699999992</v>
      </c>
      <c r="B1765" s="18"/>
      <c r="C1765" s="18"/>
      <c r="D1765" s="18"/>
      <c r="E1765" s="18"/>
      <c r="F1765" s="18"/>
      <c r="G1765" s="18"/>
      <c r="H1765" s="18"/>
      <c r="I1765" s="18"/>
      <c r="J1765" s="18"/>
      <c r="K1765" s="18"/>
      <c r="L1765" s="18"/>
      <c r="M1765" s="18"/>
      <c r="N1765" s="18"/>
    </row>
    <row r="1766" spans="1:14">
      <c r="A1766" s="489">
        <v>63128</v>
      </c>
      <c r="B1766" s="18"/>
      <c r="C1766" s="18"/>
      <c r="D1766" s="18"/>
      <c r="E1766" s="18"/>
      <c r="F1766" s="18"/>
      <c r="G1766" s="18"/>
      <c r="H1766" s="18"/>
      <c r="I1766" s="18"/>
      <c r="J1766" s="18"/>
      <c r="K1766" s="18"/>
      <c r="L1766" s="18"/>
      <c r="M1766" s="18"/>
      <c r="N1766" s="18"/>
    </row>
    <row r="1767" spans="1:14">
      <c r="A1767" s="753">
        <v>0</v>
      </c>
      <c r="B1767" s="18"/>
      <c r="C1767" s="18"/>
      <c r="D1767" s="18"/>
      <c r="E1767" s="18"/>
      <c r="F1767" s="18"/>
      <c r="G1767" s="18"/>
      <c r="H1767" s="18"/>
      <c r="I1767" s="18"/>
      <c r="J1767" s="18"/>
      <c r="K1767" s="18"/>
      <c r="L1767" s="18"/>
      <c r="M1767" s="18"/>
      <c r="N1767" s="18"/>
    </row>
    <row r="1768" spans="1:14">
      <c r="A1768" s="754" t="s">
        <v>898</v>
      </c>
      <c r="B1768" s="18"/>
      <c r="C1768" s="18"/>
      <c r="D1768" s="18">
        <v>3263643</v>
      </c>
      <c r="E1768" s="18"/>
      <c r="F1768" s="18"/>
      <c r="G1768" s="18"/>
      <c r="H1768" s="18"/>
      <c r="I1768" s="18"/>
      <c r="J1768" s="18"/>
      <c r="K1768" s="18"/>
      <c r="L1768" s="18"/>
      <c r="M1768" s="18"/>
      <c r="N1768" s="18">
        <v>3263643</v>
      </c>
    </row>
    <row r="1769" spans="1:14">
      <c r="A1769" s="754" t="s">
        <v>901</v>
      </c>
      <c r="B1769" s="18"/>
      <c r="C1769" s="18"/>
      <c r="D1769" s="18">
        <v>6429606.3699999992</v>
      </c>
      <c r="E1769" s="18"/>
      <c r="F1769" s="18"/>
      <c r="G1769" s="18"/>
      <c r="H1769" s="18"/>
      <c r="I1769" s="18"/>
      <c r="J1769" s="18"/>
      <c r="K1769" s="18"/>
      <c r="L1769" s="18"/>
      <c r="M1769" s="18"/>
      <c r="N1769" s="18">
        <v>6429606.3699999992</v>
      </c>
    </row>
    <row r="1770" spans="1:14">
      <c r="A1770" s="754" t="s">
        <v>903</v>
      </c>
      <c r="B1770" s="18"/>
      <c r="C1770" s="18"/>
      <c r="D1770" s="18">
        <v>1</v>
      </c>
      <c r="E1770" s="18"/>
      <c r="F1770" s="18"/>
      <c r="G1770" s="18"/>
      <c r="H1770" s="18"/>
      <c r="I1770" s="18"/>
      <c r="J1770" s="18"/>
      <c r="K1770" s="18"/>
      <c r="L1770" s="18"/>
      <c r="M1770" s="18"/>
      <c r="N1770" s="18">
        <v>1</v>
      </c>
    </row>
    <row r="1771" spans="1:14">
      <c r="A1771" s="754" t="s">
        <v>905</v>
      </c>
      <c r="B1771" s="18"/>
      <c r="C1771" s="18"/>
      <c r="D1771" s="18">
        <v>63128</v>
      </c>
      <c r="E1771" s="18"/>
      <c r="F1771" s="18"/>
      <c r="G1771" s="18"/>
      <c r="H1771" s="18"/>
      <c r="I1771" s="18"/>
      <c r="J1771" s="18"/>
      <c r="K1771" s="18"/>
      <c r="L1771" s="18"/>
      <c r="M1771" s="18"/>
      <c r="N1771" s="18">
        <v>63128</v>
      </c>
    </row>
    <row r="1772" spans="1:14">
      <c r="A1772" s="754" t="s">
        <v>174</v>
      </c>
      <c r="B1772" s="18"/>
      <c r="C1772" s="18"/>
      <c r="D1772" s="18">
        <v>0</v>
      </c>
      <c r="E1772" s="18"/>
      <c r="F1772" s="18"/>
      <c r="G1772" s="18"/>
      <c r="H1772" s="18"/>
      <c r="I1772" s="18"/>
      <c r="J1772" s="18"/>
      <c r="K1772" s="18"/>
      <c r="L1772" s="18"/>
      <c r="M1772" s="18"/>
      <c r="N1772" s="18">
        <v>0</v>
      </c>
    </row>
    <row r="1773" spans="1:14">
      <c r="A1773" s="489" t="s">
        <v>1935</v>
      </c>
      <c r="B1773" s="18"/>
      <c r="C1773" s="18"/>
      <c r="D1773" s="18">
        <v>3263643</v>
      </c>
      <c r="E1773" s="18"/>
      <c r="F1773" s="18"/>
      <c r="G1773" s="18"/>
      <c r="H1773" s="18"/>
      <c r="I1773" s="18"/>
      <c r="J1773" s="18"/>
      <c r="K1773" s="18"/>
      <c r="L1773" s="18"/>
      <c r="M1773" s="18"/>
      <c r="N1773" s="18">
        <v>3263643</v>
      </c>
    </row>
    <row r="1774" spans="1:14">
      <c r="A1774" s="489" t="s">
        <v>1725</v>
      </c>
      <c r="B1774" s="18"/>
      <c r="C1774" s="18"/>
      <c r="D1774" s="18">
        <v>6429606.3699999992</v>
      </c>
      <c r="E1774" s="18"/>
      <c r="F1774" s="18"/>
      <c r="G1774" s="18"/>
      <c r="H1774" s="18"/>
      <c r="I1774" s="18"/>
      <c r="J1774" s="18"/>
      <c r="K1774" s="18"/>
      <c r="L1774" s="18"/>
      <c r="M1774" s="18"/>
      <c r="N1774" s="18">
        <v>6429606.3699999992</v>
      </c>
    </row>
    <row r="1775" spans="1:14">
      <c r="A1775" s="489" t="s">
        <v>1515</v>
      </c>
      <c r="B1775" s="18"/>
      <c r="C1775" s="18"/>
      <c r="D1775" s="18">
        <v>1</v>
      </c>
      <c r="E1775" s="18"/>
      <c r="F1775" s="18"/>
      <c r="G1775" s="18"/>
      <c r="H1775" s="18"/>
      <c r="I1775" s="18"/>
      <c r="J1775" s="18"/>
      <c r="K1775" s="18"/>
      <c r="L1775" s="18"/>
      <c r="M1775" s="18"/>
      <c r="N1775" s="18">
        <v>1</v>
      </c>
    </row>
    <row r="1776" spans="1:14">
      <c r="A1776" s="489" t="s">
        <v>1305</v>
      </c>
      <c r="B1776" s="18"/>
      <c r="C1776" s="18"/>
      <c r="D1776" s="18">
        <v>63128</v>
      </c>
      <c r="E1776" s="18"/>
      <c r="F1776" s="18"/>
      <c r="G1776" s="18"/>
      <c r="H1776" s="18"/>
      <c r="I1776" s="18"/>
      <c r="J1776" s="18"/>
      <c r="K1776" s="18"/>
      <c r="L1776" s="18"/>
      <c r="M1776" s="18"/>
      <c r="N1776" s="18">
        <v>63128</v>
      </c>
    </row>
    <row r="1777" spans="1:14">
      <c r="A1777" s="489" t="s">
        <v>1095</v>
      </c>
      <c r="B1777" s="18"/>
      <c r="C1777" s="18"/>
      <c r="D1777" s="18">
        <v>0</v>
      </c>
      <c r="E1777" s="18"/>
      <c r="F1777" s="18"/>
      <c r="G1777" s="18"/>
      <c r="H1777" s="18"/>
      <c r="I1777" s="18"/>
      <c r="J1777" s="18"/>
      <c r="K1777" s="18"/>
      <c r="L1777" s="18"/>
      <c r="M1777" s="18"/>
      <c r="N1777" s="18">
        <v>0</v>
      </c>
    </row>
    <row r="1778" spans="1:14">
      <c r="A1778" s="347" t="s">
        <v>1936</v>
      </c>
      <c r="B1778" s="18"/>
      <c r="C1778" s="18"/>
      <c r="D1778" s="18">
        <v>3263643</v>
      </c>
      <c r="E1778" s="18"/>
      <c r="F1778" s="18"/>
      <c r="G1778" s="18"/>
      <c r="H1778" s="18"/>
      <c r="I1778" s="18"/>
      <c r="J1778" s="18"/>
      <c r="K1778" s="18"/>
      <c r="L1778" s="18"/>
      <c r="M1778" s="18"/>
      <c r="N1778" s="18">
        <v>3263643</v>
      </c>
    </row>
    <row r="1779" spans="1:14">
      <c r="A1779" s="347" t="s">
        <v>1726</v>
      </c>
      <c r="B1779" s="18"/>
      <c r="C1779" s="18"/>
      <c r="D1779" s="18">
        <v>6429606.3699999992</v>
      </c>
      <c r="E1779" s="18"/>
      <c r="F1779" s="18"/>
      <c r="G1779" s="18"/>
      <c r="H1779" s="18"/>
      <c r="I1779" s="18"/>
      <c r="J1779" s="18"/>
      <c r="K1779" s="18"/>
      <c r="L1779" s="18"/>
      <c r="M1779" s="18"/>
      <c r="N1779" s="18">
        <v>6429606.3699999992</v>
      </c>
    </row>
    <row r="1780" spans="1:14">
      <c r="A1780" s="347" t="s">
        <v>1516</v>
      </c>
      <c r="B1780" s="18"/>
      <c r="C1780" s="18"/>
      <c r="D1780" s="18">
        <v>1</v>
      </c>
      <c r="E1780" s="18"/>
      <c r="F1780" s="18"/>
      <c r="G1780" s="18"/>
      <c r="H1780" s="18"/>
      <c r="I1780" s="18"/>
      <c r="J1780" s="18"/>
      <c r="K1780" s="18"/>
      <c r="L1780" s="18"/>
      <c r="M1780" s="18"/>
      <c r="N1780" s="18">
        <v>1</v>
      </c>
    </row>
    <row r="1781" spans="1:14">
      <c r="A1781" s="347" t="s">
        <v>1306</v>
      </c>
      <c r="B1781" s="18"/>
      <c r="C1781" s="18"/>
      <c r="D1781" s="18">
        <v>63128</v>
      </c>
      <c r="E1781" s="18"/>
      <c r="F1781" s="18"/>
      <c r="G1781" s="18"/>
      <c r="H1781" s="18"/>
      <c r="I1781" s="18"/>
      <c r="J1781" s="18"/>
      <c r="K1781" s="18"/>
      <c r="L1781" s="18"/>
      <c r="M1781" s="18"/>
      <c r="N1781" s="18">
        <v>63128</v>
      </c>
    </row>
    <row r="1782" spans="1:14">
      <c r="A1782" s="347" t="s">
        <v>1096</v>
      </c>
      <c r="B1782" s="18"/>
      <c r="C1782" s="18"/>
      <c r="D1782" s="18">
        <v>0</v>
      </c>
      <c r="E1782" s="18"/>
      <c r="F1782" s="18"/>
      <c r="G1782" s="18"/>
      <c r="H1782" s="18"/>
      <c r="I1782" s="18"/>
      <c r="J1782" s="18"/>
      <c r="K1782" s="18"/>
      <c r="L1782" s="18"/>
      <c r="M1782" s="18"/>
      <c r="N1782" s="18">
        <v>0</v>
      </c>
    </row>
    <row r="1783" spans="1:14">
      <c r="A1783" s="19" t="s">
        <v>1777</v>
      </c>
      <c r="B1783" s="18"/>
      <c r="C1783" s="18"/>
      <c r="D1783" s="18">
        <v>3263643</v>
      </c>
      <c r="E1783" s="18"/>
      <c r="F1783" s="18"/>
      <c r="G1783" s="18"/>
      <c r="H1783" s="18"/>
      <c r="I1783" s="18"/>
      <c r="J1783" s="18"/>
      <c r="K1783" s="18"/>
      <c r="L1783" s="18"/>
      <c r="M1783" s="18"/>
      <c r="N1783" s="18">
        <v>3263643</v>
      </c>
    </row>
    <row r="1784" spans="1:14">
      <c r="A1784" s="19" t="s">
        <v>1567</v>
      </c>
      <c r="B1784" s="18"/>
      <c r="C1784" s="18"/>
      <c r="D1784" s="18">
        <v>6429606.3699999992</v>
      </c>
      <c r="E1784" s="18"/>
      <c r="F1784" s="18"/>
      <c r="G1784" s="18"/>
      <c r="H1784" s="18"/>
      <c r="I1784" s="18"/>
      <c r="J1784" s="18"/>
      <c r="K1784" s="18"/>
      <c r="L1784" s="18"/>
      <c r="M1784" s="18"/>
      <c r="N1784" s="18">
        <v>6429606.3699999992</v>
      </c>
    </row>
    <row r="1785" spans="1:14">
      <c r="A1785" s="19" t="s">
        <v>1357</v>
      </c>
      <c r="B1785" s="18"/>
      <c r="C1785" s="18"/>
      <c r="D1785" s="18">
        <v>1</v>
      </c>
      <c r="E1785" s="18"/>
      <c r="F1785" s="18"/>
      <c r="G1785" s="18"/>
      <c r="H1785" s="18"/>
      <c r="I1785" s="18"/>
      <c r="J1785" s="18"/>
      <c r="K1785" s="18"/>
      <c r="L1785" s="18"/>
      <c r="M1785" s="18"/>
      <c r="N1785" s="18">
        <v>1</v>
      </c>
    </row>
    <row r="1786" spans="1:14">
      <c r="A1786" s="19" t="s">
        <v>1147</v>
      </c>
      <c r="B1786" s="18"/>
      <c r="C1786" s="18"/>
      <c r="D1786" s="18">
        <v>63128</v>
      </c>
      <c r="E1786" s="18"/>
      <c r="F1786" s="18"/>
      <c r="G1786" s="18"/>
      <c r="H1786" s="18"/>
      <c r="I1786" s="18"/>
      <c r="J1786" s="18"/>
      <c r="K1786" s="18"/>
      <c r="L1786" s="18"/>
      <c r="M1786" s="18"/>
      <c r="N1786" s="18">
        <v>63128</v>
      </c>
    </row>
    <row r="1787" spans="1:14">
      <c r="A1787" s="19" t="s">
        <v>937</v>
      </c>
      <c r="B1787" s="18"/>
      <c r="C1787" s="18"/>
      <c r="D1787" s="18">
        <v>0</v>
      </c>
      <c r="E1787" s="18"/>
      <c r="F1787" s="18"/>
      <c r="G1787" s="18"/>
      <c r="H1787" s="18"/>
      <c r="I1787" s="18"/>
      <c r="J1787" s="18"/>
      <c r="K1787" s="18"/>
      <c r="L1787" s="18"/>
      <c r="M1787" s="18"/>
      <c r="N1787" s="18">
        <v>0</v>
      </c>
    </row>
    <row r="1788" spans="1:14">
      <c r="A1788" s="4" t="s">
        <v>1937</v>
      </c>
      <c r="B1788" s="18"/>
      <c r="C1788" s="18"/>
      <c r="D1788" s="18">
        <v>3263643</v>
      </c>
      <c r="E1788" s="18"/>
      <c r="F1788" s="18"/>
      <c r="G1788" s="18"/>
      <c r="H1788" s="18"/>
      <c r="I1788" s="18"/>
      <c r="J1788" s="18"/>
      <c r="K1788" s="18"/>
      <c r="L1788" s="18"/>
      <c r="M1788" s="18"/>
      <c r="N1788" s="18">
        <v>3263643</v>
      </c>
    </row>
    <row r="1789" spans="1:14">
      <c r="A1789" s="4" t="s">
        <v>1727</v>
      </c>
      <c r="B1789" s="18"/>
      <c r="C1789" s="18"/>
      <c r="D1789" s="18">
        <v>6429606.3699999992</v>
      </c>
      <c r="E1789" s="18"/>
      <c r="F1789" s="18"/>
      <c r="G1789" s="18"/>
      <c r="H1789" s="18"/>
      <c r="I1789" s="18"/>
      <c r="J1789" s="18"/>
      <c r="K1789" s="18"/>
      <c r="L1789" s="18"/>
      <c r="M1789" s="18"/>
      <c r="N1789" s="18">
        <v>6429606.3699999992</v>
      </c>
    </row>
    <row r="1790" spans="1:14">
      <c r="A1790" s="4" t="s">
        <v>1517</v>
      </c>
      <c r="B1790" s="18"/>
      <c r="C1790" s="18"/>
      <c r="D1790" s="18">
        <v>1</v>
      </c>
      <c r="E1790" s="18"/>
      <c r="F1790" s="18"/>
      <c r="G1790" s="18"/>
      <c r="H1790" s="18"/>
      <c r="I1790" s="18"/>
      <c r="J1790" s="18"/>
      <c r="K1790" s="18"/>
      <c r="L1790" s="18"/>
      <c r="M1790" s="18"/>
      <c r="N1790" s="18">
        <v>1</v>
      </c>
    </row>
    <row r="1791" spans="1:14">
      <c r="A1791" s="4" t="s">
        <v>1307</v>
      </c>
      <c r="B1791" s="18"/>
      <c r="C1791" s="18"/>
      <c r="D1791" s="18">
        <v>63128</v>
      </c>
      <c r="E1791" s="18"/>
      <c r="F1791" s="18"/>
      <c r="G1791" s="18"/>
      <c r="H1791" s="18"/>
      <c r="I1791" s="18"/>
      <c r="J1791" s="18"/>
      <c r="K1791" s="18"/>
      <c r="L1791" s="18"/>
      <c r="M1791" s="18"/>
      <c r="N1791" s="18">
        <v>63128</v>
      </c>
    </row>
    <row r="1792" spans="1:14">
      <c r="A1792" s="4" t="s">
        <v>1097</v>
      </c>
      <c r="B1792" s="18"/>
      <c r="C1792" s="18"/>
      <c r="D1792" s="18">
        <v>0</v>
      </c>
      <c r="E1792" s="18"/>
      <c r="F1792" s="18"/>
      <c r="G1792" s="18"/>
      <c r="H1792" s="18"/>
      <c r="I1792" s="18"/>
      <c r="J1792" s="18"/>
      <c r="K1792" s="18"/>
      <c r="L1792" s="18"/>
      <c r="M1792" s="18"/>
      <c r="N1792" s="18">
        <v>0</v>
      </c>
    </row>
    <row r="1793" spans="1:14">
      <c r="A1793" s="4">
        <v>3287400</v>
      </c>
      <c r="B1793" s="18"/>
      <c r="C1793" s="18"/>
      <c r="D1793" s="18"/>
      <c r="E1793" s="18"/>
      <c r="F1793" s="18"/>
      <c r="G1793" s="18"/>
      <c r="H1793" s="18"/>
      <c r="I1793" s="18"/>
      <c r="J1793" s="18"/>
      <c r="K1793" s="18"/>
      <c r="L1793" s="18"/>
      <c r="M1793" s="18"/>
      <c r="N1793" s="18"/>
    </row>
    <row r="1794" spans="1:14">
      <c r="A1794" s="19">
        <v>1</v>
      </c>
      <c r="B1794" s="18"/>
      <c r="C1794" s="18"/>
      <c r="D1794" s="18"/>
      <c r="E1794" s="18"/>
      <c r="F1794" s="18"/>
      <c r="G1794" s="18"/>
      <c r="H1794" s="18"/>
      <c r="I1794" s="18"/>
      <c r="J1794" s="18"/>
      <c r="K1794" s="18"/>
      <c r="L1794" s="18"/>
      <c r="M1794" s="18"/>
      <c r="N1794" s="18"/>
    </row>
    <row r="1795" spans="1:14">
      <c r="A1795" s="347">
        <v>5918673</v>
      </c>
      <c r="B1795" s="18"/>
      <c r="C1795" s="18"/>
      <c r="D1795" s="18"/>
      <c r="E1795" s="18"/>
      <c r="F1795" s="18"/>
      <c r="G1795" s="18"/>
      <c r="H1795" s="18"/>
      <c r="I1795" s="18"/>
      <c r="J1795" s="18"/>
      <c r="K1795" s="18"/>
      <c r="L1795" s="18"/>
      <c r="M1795" s="18"/>
      <c r="N1795" s="18"/>
    </row>
    <row r="1796" spans="1:14">
      <c r="A1796" s="489">
        <v>0</v>
      </c>
      <c r="B1796" s="18"/>
      <c r="C1796" s="18"/>
      <c r="D1796" s="18"/>
      <c r="E1796" s="18"/>
      <c r="F1796" s="18"/>
      <c r="G1796" s="18"/>
      <c r="H1796" s="18"/>
      <c r="I1796" s="18"/>
      <c r="J1796" s="18"/>
      <c r="K1796" s="18"/>
      <c r="L1796" s="18"/>
      <c r="M1796" s="18"/>
      <c r="N1796" s="18"/>
    </row>
    <row r="1797" spans="1:14">
      <c r="A1797" s="753">
        <v>822994.74</v>
      </c>
      <c r="B1797" s="18"/>
      <c r="C1797" s="18"/>
      <c r="D1797" s="18"/>
      <c r="E1797" s="18"/>
      <c r="F1797" s="18"/>
      <c r="G1797" s="18"/>
      <c r="H1797" s="18"/>
      <c r="I1797" s="18"/>
      <c r="J1797" s="18"/>
      <c r="K1797" s="18"/>
      <c r="L1797" s="18"/>
      <c r="M1797" s="18"/>
      <c r="N1797" s="18"/>
    </row>
    <row r="1798" spans="1:14">
      <c r="A1798" s="754" t="s">
        <v>898</v>
      </c>
      <c r="B1798" s="18"/>
      <c r="C1798" s="18"/>
      <c r="D1798" s="18"/>
      <c r="E1798" s="18">
        <v>3287400</v>
      </c>
      <c r="F1798" s="18"/>
      <c r="G1798" s="18"/>
      <c r="H1798" s="18"/>
      <c r="I1798" s="18"/>
      <c r="J1798" s="18"/>
      <c r="K1798" s="18"/>
      <c r="L1798" s="18"/>
      <c r="M1798" s="18"/>
      <c r="N1798" s="18">
        <v>3287400</v>
      </c>
    </row>
    <row r="1799" spans="1:14">
      <c r="A1799" s="754" t="s">
        <v>901</v>
      </c>
      <c r="B1799" s="18"/>
      <c r="C1799" s="18"/>
      <c r="D1799" s="18"/>
      <c r="E1799" s="18">
        <v>5918673</v>
      </c>
      <c r="F1799" s="18"/>
      <c r="G1799" s="18"/>
      <c r="H1799" s="18"/>
      <c r="I1799" s="18"/>
      <c r="J1799" s="18"/>
      <c r="K1799" s="18"/>
      <c r="L1799" s="18"/>
      <c r="M1799" s="18"/>
      <c r="N1799" s="18">
        <v>5918673</v>
      </c>
    </row>
    <row r="1800" spans="1:14">
      <c r="A1800" s="754" t="s">
        <v>903</v>
      </c>
      <c r="B1800" s="18"/>
      <c r="C1800" s="18"/>
      <c r="D1800" s="18"/>
      <c r="E1800" s="18">
        <v>1</v>
      </c>
      <c r="F1800" s="18"/>
      <c r="G1800" s="18"/>
      <c r="H1800" s="18"/>
      <c r="I1800" s="18"/>
      <c r="J1800" s="18"/>
      <c r="K1800" s="18"/>
      <c r="L1800" s="18"/>
      <c r="M1800" s="18"/>
      <c r="N1800" s="18">
        <v>1</v>
      </c>
    </row>
    <row r="1801" spans="1:14">
      <c r="A1801" s="754" t="s">
        <v>905</v>
      </c>
      <c r="B1801" s="18"/>
      <c r="C1801" s="18"/>
      <c r="D1801" s="18"/>
      <c r="E1801" s="18">
        <v>0</v>
      </c>
      <c r="F1801" s="18"/>
      <c r="G1801" s="18"/>
      <c r="H1801" s="18"/>
      <c r="I1801" s="18"/>
      <c r="J1801" s="18"/>
      <c r="K1801" s="18"/>
      <c r="L1801" s="18"/>
      <c r="M1801" s="18"/>
      <c r="N1801" s="18">
        <v>0</v>
      </c>
    </row>
    <row r="1802" spans="1:14">
      <c r="A1802" s="754" t="s">
        <v>174</v>
      </c>
      <c r="B1802" s="18"/>
      <c r="C1802" s="18"/>
      <c r="D1802" s="18"/>
      <c r="E1802" s="18">
        <v>822994.74</v>
      </c>
      <c r="F1802" s="18"/>
      <c r="G1802" s="18"/>
      <c r="H1802" s="18"/>
      <c r="I1802" s="18"/>
      <c r="J1802" s="18"/>
      <c r="K1802" s="18"/>
      <c r="L1802" s="18"/>
      <c r="M1802" s="18"/>
      <c r="N1802" s="18">
        <v>822994.74</v>
      </c>
    </row>
    <row r="1803" spans="1:14">
      <c r="A1803" s="489" t="s">
        <v>1755</v>
      </c>
      <c r="B1803" s="18"/>
      <c r="C1803" s="18"/>
      <c r="D1803" s="18"/>
      <c r="E1803" s="18">
        <v>3287400</v>
      </c>
      <c r="F1803" s="18"/>
      <c r="G1803" s="18"/>
      <c r="H1803" s="18"/>
      <c r="I1803" s="18"/>
      <c r="J1803" s="18"/>
      <c r="K1803" s="18"/>
      <c r="L1803" s="18"/>
      <c r="M1803" s="18"/>
      <c r="N1803" s="18">
        <v>3287400</v>
      </c>
    </row>
    <row r="1804" spans="1:14">
      <c r="A1804" s="489" t="s">
        <v>1545</v>
      </c>
      <c r="B1804" s="18"/>
      <c r="C1804" s="18"/>
      <c r="D1804" s="18"/>
      <c r="E1804" s="18">
        <v>5918673</v>
      </c>
      <c r="F1804" s="18"/>
      <c r="G1804" s="18"/>
      <c r="H1804" s="18"/>
      <c r="I1804" s="18"/>
      <c r="J1804" s="18"/>
      <c r="K1804" s="18"/>
      <c r="L1804" s="18"/>
      <c r="M1804" s="18"/>
      <c r="N1804" s="18">
        <v>5918673</v>
      </c>
    </row>
    <row r="1805" spans="1:14">
      <c r="A1805" s="489" t="s">
        <v>1335</v>
      </c>
      <c r="B1805" s="18"/>
      <c r="C1805" s="18"/>
      <c r="D1805" s="18"/>
      <c r="E1805" s="18">
        <v>1</v>
      </c>
      <c r="F1805" s="18"/>
      <c r="G1805" s="18"/>
      <c r="H1805" s="18"/>
      <c r="I1805" s="18"/>
      <c r="J1805" s="18"/>
      <c r="K1805" s="18"/>
      <c r="L1805" s="18"/>
      <c r="M1805" s="18"/>
      <c r="N1805" s="18">
        <v>1</v>
      </c>
    </row>
    <row r="1806" spans="1:14">
      <c r="A1806" s="489" t="s">
        <v>1125</v>
      </c>
      <c r="B1806" s="18"/>
      <c r="C1806" s="18"/>
      <c r="D1806" s="18"/>
      <c r="E1806" s="18">
        <v>0</v>
      </c>
      <c r="F1806" s="18"/>
      <c r="G1806" s="18"/>
      <c r="H1806" s="18"/>
      <c r="I1806" s="18"/>
      <c r="J1806" s="18"/>
      <c r="K1806" s="18"/>
      <c r="L1806" s="18"/>
      <c r="M1806" s="18"/>
      <c r="N1806" s="18">
        <v>0</v>
      </c>
    </row>
    <row r="1807" spans="1:14">
      <c r="A1807" s="489" t="s">
        <v>915</v>
      </c>
      <c r="B1807" s="18"/>
      <c r="C1807" s="18"/>
      <c r="D1807" s="18"/>
      <c r="E1807" s="18">
        <v>822994.74</v>
      </c>
      <c r="F1807" s="18"/>
      <c r="G1807" s="18"/>
      <c r="H1807" s="18"/>
      <c r="I1807" s="18"/>
      <c r="J1807" s="18"/>
      <c r="K1807" s="18"/>
      <c r="L1807" s="18"/>
      <c r="M1807" s="18"/>
      <c r="N1807" s="18">
        <v>822994.74</v>
      </c>
    </row>
    <row r="1808" spans="1:14">
      <c r="A1808" s="347" t="s">
        <v>1938</v>
      </c>
      <c r="B1808" s="18"/>
      <c r="C1808" s="18"/>
      <c r="D1808" s="18"/>
      <c r="E1808" s="18">
        <v>3287400</v>
      </c>
      <c r="F1808" s="18"/>
      <c r="G1808" s="18"/>
      <c r="H1808" s="18"/>
      <c r="I1808" s="18"/>
      <c r="J1808" s="18"/>
      <c r="K1808" s="18"/>
      <c r="L1808" s="18"/>
      <c r="M1808" s="18"/>
      <c r="N1808" s="18">
        <v>3287400</v>
      </c>
    </row>
    <row r="1809" spans="1:14">
      <c r="A1809" s="347" t="s">
        <v>1728</v>
      </c>
      <c r="B1809" s="18"/>
      <c r="C1809" s="18"/>
      <c r="D1809" s="18"/>
      <c r="E1809" s="18">
        <v>5918673</v>
      </c>
      <c r="F1809" s="18"/>
      <c r="G1809" s="18"/>
      <c r="H1809" s="18"/>
      <c r="I1809" s="18"/>
      <c r="J1809" s="18"/>
      <c r="K1809" s="18"/>
      <c r="L1809" s="18"/>
      <c r="M1809" s="18"/>
      <c r="N1809" s="18">
        <v>5918673</v>
      </c>
    </row>
    <row r="1810" spans="1:14">
      <c r="A1810" s="347" t="s">
        <v>1518</v>
      </c>
      <c r="B1810" s="18"/>
      <c r="C1810" s="18"/>
      <c r="D1810" s="18"/>
      <c r="E1810" s="18">
        <v>1</v>
      </c>
      <c r="F1810" s="18"/>
      <c r="G1810" s="18"/>
      <c r="H1810" s="18"/>
      <c r="I1810" s="18"/>
      <c r="J1810" s="18"/>
      <c r="K1810" s="18"/>
      <c r="L1810" s="18"/>
      <c r="M1810" s="18"/>
      <c r="N1810" s="18">
        <v>1</v>
      </c>
    </row>
    <row r="1811" spans="1:14">
      <c r="A1811" s="347" t="s">
        <v>1308</v>
      </c>
      <c r="B1811" s="18"/>
      <c r="C1811" s="18"/>
      <c r="D1811" s="18"/>
      <c r="E1811" s="18">
        <v>0</v>
      </c>
      <c r="F1811" s="18"/>
      <c r="G1811" s="18"/>
      <c r="H1811" s="18"/>
      <c r="I1811" s="18"/>
      <c r="J1811" s="18"/>
      <c r="K1811" s="18"/>
      <c r="L1811" s="18"/>
      <c r="M1811" s="18"/>
      <c r="N1811" s="18">
        <v>0</v>
      </c>
    </row>
    <row r="1812" spans="1:14">
      <c r="A1812" s="347" t="s">
        <v>1098</v>
      </c>
      <c r="B1812" s="18"/>
      <c r="C1812" s="18"/>
      <c r="D1812" s="18"/>
      <c r="E1812" s="18">
        <v>822994.74</v>
      </c>
      <c r="F1812" s="18"/>
      <c r="G1812" s="18"/>
      <c r="H1812" s="18"/>
      <c r="I1812" s="18"/>
      <c r="J1812" s="18"/>
      <c r="K1812" s="18"/>
      <c r="L1812" s="18"/>
      <c r="M1812" s="18"/>
      <c r="N1812" s="18">
        <v>822994.74</v>
      </c>
    </row>
    <row r="1813" spans="1:14">
      <c r="A1813" s="19" t="s">
        <v>1777</v>
      </c>
      <c r="B1813" s="18"/>
      <c r="C1813" s="18"/>
      <c r="D1813" s="18"/>
      <c r="E1813" s="18">
        <v>3287400</v>
      </c>
      <c r="F1813" s="18"/>
      <c r="G1813" s="18"/>
      <c r="H1813" s="18"/>
      <c r="I1813" s="18"/>
      <c r="J1813" s="18"/>
      <c r="K1813" s="18"/>
      <c r="L1813" s="18"/>
      <c r="M1813" s="18"/>
      <c r="N1813" s="18">
        <v>3287400</v>
      </c>
    </row>
    <row r="1814" spans="1:14">
      <c r="A1814" s="19" t="s">
        <v>1567</v>
      </c>
      <c r="B1814" s="18"/>
      <c r="C1814" s="18"/>
      <c r="D1814" s="18"/>
      <c r="E1814" s="18">
        <v>5918673</v>
      </c>
      <c r="F1814" s="18"/>
      <c r="G1814" s="18"/>
      <c r="H1814" s="18"/>
      <c r="I1814" s="18"/>
      <c r="J1814" s="18"/>
      <c r="K1814" s="18"/>
      <c r="L1814" s="18"/>
      <c r="M1814" s="18"/>
      <c r="N1814" s="18">
        <v>5918673</v>
      </c>
    </row>
    <row r="1815" spans="1:14">
      <c r="A1815" s="19" t="s">
        <v>1357</v>
      </c>
      <c r="B1815" s="18"/>
      <c r="C1815" s="18"/>
      <c r="D1815" s="18"/>
      <c r="E1815" s="18">
        <v>1</v>
      </c>
      <c r="F1815" s="18"/>
      <c r="G1815" s="18"/>
      <c r="H1815" s="18"/>
      <c r="I1815" s="18"/>
      <c r="J1815" s="18"/>
      <c r="K1815" s="18"/>
      <c r="L1815" s="18"/>
      <c r="M1815" s="18"/>
      <c r="N1815" s="18">
        <v>1</v>
      </c>
    </row>
    <row r="1816" spans="1:14">
      <c r="A1816" s="19" t="s">
        <v>1147</v>
      </c>
      <c r="B1816" s="18"/>
      <c r="C1816" s="18"/>
      <c r="D1816" s="18"/>
      <c r="E1816" s="18">
        <v>0</v>
      </c>
      <c r="F1816" s="18"/>
      <c r="G1816" s="18"/>
      <c r="H1816" s="18"/>
      <c r="I1816" s="18"/>
      <c r="J1816" s="18"/>
      <c r="K1816" s="18"/>
      <c r="L1816" s="18"/>
      <c r="M1816" s="18"/>
      <c r="N1816" s="18">
        <v>0</v>
      </c>
    </row>
    <row r="1817" spans="1:14">
      <c r="A1817" s="19" t="s">
        <v>937</v>
      </c>
      <c r="B1817" s="18"/>
      <c r="C1817" s="18"/>
      <c r="D1817" s="18"/>
      <c r="E1817" s="18">
        <v>822994.74</v>
      </c>
      <c r="F1817" s="18"/>
      <c r="G1817" s="18"/>
      <c r="H1817" s="18"/>
      <c r="I1817" s="18"/>
      <c r="J1817" s="18"/>
      <c r="K1817" s="18"/>
      <c r="L1817" s="18"/>
      <c r="M1817" s="18"/>
      <c r="N1817" s="18">
        <v>822994.74</v>
      </c>
    </row>
    <row r="1818" spans="1:14">
      <c r="A1818" s="4" t="s">
        <v>1939</v>
      </c>
      <c r="B1818" s="18"/>
      <c r="C1818" s="18"/>
      <c r="D1818" s="18"/>
      <c r="E1818" s="18">
        <v>3287400</v>
      </c>
      <c r="F1818" s="18"/>
      <c r="G1818" s="18"/>
      <c r="H1818" s="18"/>
      <c r="I1818" s="18"/>
      <c r="J1818" s="18"/>
      <c r="K1818" s="18"/>
      <c r="L1818" s="18"/>
      <c r="M1818" s="18"/>
      <c r="N1818" s="18">
        <v>3287400</v>
      </c>
    </row>
    <row r="1819" spans="1:14">
      <c r="A1819" s="4" t="s">
        <v>1729</v>
      </c>
      <c r="B1819" s="18"/>
      <c r="C1819" s="18"/>
      <c r="D1819" s="18"/>
      <c r="E1819" s="18">
        <v>5918673</v>
      </c>
      <c r="F1819" s="18"/>
      <c r="G1819" s="18"/>
      <c r="H1819" s="18"/>
      <c r="I1819" s="18"/>
      <c r="J1819" s="18"/>
      <c r="K1819" s="18"/>
      <c r="L1819" s="18"/>
      <c r="M1819" s="18"/>
      <c r="N1819" s="18">
        <v>5918673</v>
      </c>
    </row>
    <row r="1820" spans="1:14">
      <c r="A1820" s="4" t="s">
        <v>1519</v>
      </c>
      <c r="B1820" s="18"/>
      <c r="C1820" s="18"/>
      <c r="D1820" s="18"/>
      <c r="E1820" s="18">
        <v>1</v>
      </c>
      <c r="F1820" s="18"/>
      <c r="G1820" s="18"/>
      <c r="H1820" s="18"/>
      <c r="I1820" s="18"/>
      <c r="J1820" s="18"/>
      <c r="K1820" s="18"/>
      <c r="L1820" s="18"/>
      <c r="M1820" s="18"/>
      <c r="N1820" s="18">
        <v>1</v>
      </c>
    </row>
    <row r="1821" spans="1:14">
      <c r="A1821" s="4" t="s">
        <v>1309</v>
      </c>
      <c r="B1821" s="18"/>
      <c r="C1821" s="18"/>
      <c r="D1821" s="18"/>
      <c r="E1821" s="18">
        <v>0</v>
      </c>
      <c r="F1821" s="18"/>
      <c r="G1821" s="18"/>
      <c r="H1821" s="18"/>
      <c r="I1821" s="18"/>
      <c r="J1821" s="18"/>
      <c r="K1821" s="18"/>
      <c r="L1821" s="18"/>
      <c r="M1821" s="18"/>
      <c r="N1821" s="18">
        <v>0</v>
      </c>
    </row>
    <row r="1822" spans="1:14">
      <c r="A1822" s="4" t="s">
        <v>1099</v>
      </c>
      <c r="B1822" s="18"/>
      <c r="C1822" s="18"/>
      <c r="D1822" s="18"/>
      <c r="E1822" s="18">
        <v>822994.74</v>
      </c>
      <c r="F1822" s="18"/>
      <c r="G1822" s="18"/>
      <c r="H1822" s="18"/>
      <c r="I1822" s="18"/>
      <c r="J1822" s="18"/>
      <c r="K1822" s="18"/>
      <c r="L1822" s="18"/>
      <c r="M1822" s="18"/>
      <c r="N1822" s="18">
        <v>822994.74</v>
      </c>
    </row>
    <row r="1823" spans="1:14">
      <c r="A1823" s="4">
        <v>3306813</v>
      </c>
      <c r="B1823" s="18"/>
      <c r="C1823" s="18"/>
      <c r="D1823" s="18"/>
      <c r="E1823" s="18"/>
      <c r="F1823" s="18"/>
      <c r="G1823" s="18"/>
      <c r="H1823" s="18"/>
      <c r="I1823" s="18"/>
      <c r="J1823" s="18"/>
      <c r="K1823" s="18"/>
      <c r="L1823" s="18"/>
      <c r="M1823" s="18"/>
      <c r="N1823" s="18"/>
    </row>
    <row r="1824" spans="1:14">
      <c r="A1824" s="19" t="s">
        <v>733</v>
      </c>
      <c r="B1824" s="18"/>
      <c r="C1824" s="18"/>
      <c r="D1824" s="18"/>
      <c r="E1824" s="18"/>
      <c r="F1824" s="18"/>
      <c r="G1824" s="18"/>
      <c r="H1824" s="18"/>
      <c r="I1824" s="18"/>
      <c r="J1824" s="18"/>
      <c r="K1824" s="18"/>
      <c r="L1824" s="18"/>
      <c r="M1824" s="18"/>
      <c r="N1824" s="18"/>
    </row>
    <row r="1825" spans="1:14">
      <c r="A1825" s="347">
        <v>5854059</v>
      </c>
      <c r="B1825" s="18"/>
      <c r="C1825" s="18"/>
      <c r="D1825" s="18"/>
      <c r="E1825" s="18"/>
      <c r="F1825" s="18"/>
      <c r="G1825" s="18"/>
      <c r="H1825" s="18"/>
      <c r="I1825" s="18"/>
      <c r="J1825" s="18"/>
      <c r="K1825" s="18"/>
      <c r="L1825" s="18"/>
      <c r="M1825" s="18"/>
      <c r="N1825" s="18"/>
    </row>
    <row r="1826" spans="1:14">
      <c r="A1826" s="489">
        <v>2455687.71</v>
      </c>
      <c r="B1826" s="18"/>
      <c r="C1826" s="18"/>
      <c r="D1826" s="18"/>
      <c r="E1826" s="18"/>
      <c r="F1826" s="18"/>
      <c r="G1826" s="18"/>
      <c r="H1826" s="18"/>
      <c r="I1826" s="18"/>
      <c r="J1826" s="18"/>
      <c r="K1826" s="18"/>
      <c r="L1826" s="18"/>
      <c r="M1826" s="18"/>
      <c r="N1826" s="18"/>
    </row>
    <row r="1827" spans="1:14">
      <c r="A1827" s="753" t="s">
        <v>733</v>
      </c>
      <c r="B1827" s="18"/>
      <c r="C1827" s="18"/>
      <c r="D1827" s="18"/>
      <c r="E1827" s="18"/>
      <c r="F1827" s="18"/>
      <c r="G1827" s="18"/>
      <c r="H1827" s="18"/>
      <c r="I1827" s="18"/>
      <c r="J1827" s="18"/>
      <c r="K1827" s="18"/>
      <c r="L1827" s="18"/>
      <c r="M1827" s="18"/>
      <c r="N1827" s="18"/>
    </row>
    <row r="1828" spans="1:14">
      <c r="A1828" s="754" t="s">
        <v>898</v>
      </c>
      <c r="B1828" s="18"/>
      <c r="C1828" s="18"/>
      <c r="D1828" s="18"/>
      <c r="E1828" s="18"/>
      <c r="F1828" s="18"/>
      <c r="G1828" s="18"/>
      <c r="H1828" s="18"/>
      <c r="I1828" s="18">
        <v>3306813</v>
      </c>
      <c r="J1828" s="18"/>
      <c r="K1828" s="18"/>
      <c r="L1828" s="18"/>
      <c r="M1828" s="18"/>
      <c r="N1828" s="18">
        <v>3306813</v>
      </c>
    </row>
    <row r="1829" spans="1:14">
      <c r="A1829" s="754" t="s">
        <v>901</v>
      </c>
      <c r="B1829" s="18"/>
      <c r="C1829" s="18"/>
      <c r="D1829" s="18"/>
      <c r="E1829" s="18"/>
      <c r="F1829" s="18"/>
      <c r="G1829" s="18"/>
      <c r="H1829" s="18"/>
      <c r="I1829" s="18">
        <v>5854059</v>
      </c>
      <c r="J1829" s="18"/>
      <c r="K1829" s="18"/>
      <c r="L1829" s="18"/>
      <c r="M1829" s="18"/>
      <c r="N1829" s="18">
        <v>5854059</v>
      </c>
    </row>
    <row r="1830" spans="1:14">
      <c r="A1830" s="754" t="s">
        <v>903</v>
      </c>
      <c r="B1830" s="18"/>
      <c r="C1830" s="18"/>
      <c r="D1830" s="18"/>
      <c r="E1830" s="18"/>
      <c r="F1830" s="18"/>
      <c r="G1830" s="18"/>
      <c r="H1830" s="18"/>
      <c r="I1830" s="18"/>
      <c r="J1830" s="18"/>
      <c r="K1830" s="18"/>
      <c r="L1830" s="18"/>
      <c r="M1830" s="18"/>
      <c r="N1830" s="18"/>
    </row>
    <row r="1831" spans="1:14">
      <c r="A1831" s="754" t="s">
        <v>905</v>
      </c>
      <c r="B1831" s="18"/>
      <c r="C1831" s="18"/>
      <c r="D1831" s="18"/>
      <c r="E1831" s="18"/>
      <c r="F1831" s="18"/>
      <c r="G1831" s="18"/>
      <c r="H1831" s="18"/>
      <c r="I1831" s="18">
        <v>2455687.71</v>
      </c>
      <c r="J1831" s="18"/>
      <c r="K1831" s="18"/>
      <c r="L1831" s="18"/>
      <c r="M1831" s="18"/>
      <c r="N1831" s="18">
        <v>2455687.71</v>
      </c>
    </row>
    <row r="1832" spans="1:14">
      <c r="A1832" s="754" t="s">
        <v>174</v>
      </c>
      <c r="B1832" s="18"/>
      <c r="C1832" s="18"/>
      <c r="D1832" s="18"/>
      <c r="E1832" s="18"/>
      <c r="F1832" s="18"/>
      <c r="G1832" s="18"/>
      <c r="H1832" s="18"/>
      <c r="I1832" s="18"/>
      <c r="J1832" s="18"/>
      <c r="K1832" s="18"/>
      <c r="L1832" s="18"/>
      <c r="M1832" s="18"/>
      <c r="N1832" s="18"/>
    </row>
    <row r="1833" spans="1:14">
      <c r="A1833" s="489" t="s">
        <v>1940</v>
      </c>
      <c r="B1833" s="18"/>
      <c r="C1833" s="18"/>
      <c r="D1833" s="18"/>
      <c r="E1833" s="18"/>
      <c r="F1833" s="18"/>
      <c r="G1833" s="18"/>
      <c r="H1833" s="18"/>
      <c r="I1833" s="18">
        <v>3306813</v>
      </c>
      <c r="J1833" s="18"/>
      <c r="K1833" s="18"/>
      <c r="L1833" s="18"/>
      <c r="M1833" s="18"/>
      <c r="N1833" s="18">
        <v>3306813</v>
      </c>
    </row>
    <row r="1834" spans="1:14">
      <c r="A1834" s="489" t="s">
        <v>1730</v>
      </c>
      <c r="B1834" s="18"/>
      <c r="C1834" s="18"/>
      <c r="D1834" s="18"/>
      <c r="E1834" s="18"/>
      <c r="F1834" s="18"/>
      <c r="G1834" s="18"/>
      <c r="H1834" s="18"/>
      <c r="I1834" s="18">
        <v>5854059</v>
      </c>
      <c r="J1834" s="18"/>
      <c r="K1834" s="18"/>
      <c r="L1834" s="18"/>
      <c r="M1834" s="18"/>
      <c r="N1834" s="18">
        <v>5854059</v>
      </c>
    </row>
    <row r="1835" spans="1:14">
      <c r="A1835" s="489" t="s">
        <v>1520</v>
      </c>
      <c r="B1835" s="18"/>
      <c r="C1835" s="18"/>
      <c r="D1835" s="18"/>
      <c r="E1835" s="18"/>
      <c r="F1835" s="18"/>
      <c r="G1835" s="18"/>
      <c r="H1835" s="18"/>
      <c r="I1835" s="18"/>
      <c r="J1835" s="18"/>
      <c r="K1835" s="18"/>
      <c r="L1835" s="18"/>
      <c r="M1835" s="18"/>
      <c r="N1835" s="18"/>
    </row>
    <row r="1836" spans="1:14">
      <c r="A1836" s="489" t="s">
        <v>1310</v>
      </c>
      <c r="B1836" s="18"/>
      <c r="C1836" s="18"/>
      <c r="D1836" s="18"/>
      <c r="E1836" s="18"/>
      <c r="F1836" s="18"/>
      <c r="G1836" s="18"/>
      <c r="H1836" s="18"/>
      <c r="I1836" s="18">
        <v>2455687.71</v>
      </c>
      <c r="J1836" s="18"/>
      <c r="K1836" s="18"/>
      <c r="L1836" s="18"/>
      <c r="M1836" s="18"/>
      <c r="N1836" s="18">
        <v>2455687.71</v>
      </c>
    </row>
    <row r="1837" spans="1:14">
      <c r="A1837" s="489" t="s">
        <v>1100</v>
      </c>
      <c r="B1837" s="18"/>
      <c r="C1837" s="18"/>
      <c r="D1837" s="18"/>
      <c r="E1837" s="18"/>
      <c r="F1837" s="18"/>
      <c r="G1837" s="18"/>
      <c r="H1837" s="18"/>
      <c r="I1837" s="18"/>
      <c r="J1837" s="18"/>
      <c r="K1837" s="18"/>
      <c r="L1837" s="18"/>
      <c r="M1837" s="18"/>
      <c r="N1837" s="18"/>
    </row>
    <row r="1838" spans="1:14">
      <c r="A1838" s="347" t="s">
        <v>1941</v>
      </c>
      <c r="B1838" s="18"/>
      <c r="C1838" s="18"/>
      <c r="D1838" s="18"/>
      <c r="E1838" s="18"/>
      <c r="F1838" s="18"/>
      <c r="G1838" s="18"/>
      <c r="H1838" s="18"/>
      <c r="I1838" s="18">
        <v>3306813</v>
      </c>
      <c r="J1838" s="18"/>
      <c r="K1838" s="18"/>
      <c r="L1838" s="18"/>
      <c r="M1838" s="18"/>
      <c r="N1838" s="18">
        <v>3306813</v>
      </c>
    </row>
    <row r="1839" spans="1:14">
      <c r="A1839" s="347" t="s">
        <v>1731</v>
      </c>
      <c r="B1839" s="18"/>
      <c r="C1839" s="18"/>
      <c r="D1839" s="18"/>
      <c r="E1839" s="18"/>
      <c r="F1839" s="18"/>
      <c r="G1839" s="18"/>
      <c r="H1839" s="18"/>
      <c r="I1839" s="18">
        <v>5854059</v>
      </c>
      <c r="J1839" s="18"/>
      <c r="K1839" s="18"/>
      <c r="L1839" s="18"/>
      <c r="M1839" s="18"/>
      <c r="N1839" s="18">
        <v>5854059</v>
      </c>
    </row>
    <row r="1840" spans="1:14">
      <c r="A1840" s="347" t="s">
        <v>1521</v>
      </c>
      <c r="B1840" s="18"/>
      <c r="C1840" s="18"/>
      <c r="D1840" s="18"/>
      <c r="E1840" s="18"/>
      <c r="F1840" s="18"/>
      <c r="G1840" s="18"/>
      <c r="H1840" s="18"/>
      <c r="I1840" s="18"/>
      <c r="J1840" s="18"/>
      <c r="K1840" s="18"/>
      <c r="L1840" s="18"/>
      <c r="M1840" s="18"/>
      <c r="N1840" s="18"/>
    </row>
    <row r="1841" spans="1:14">
      <c r="A1841" s="347" t="s">
        <v>1311</v>
      </c>
      <c r="B1841" s="18"/>
      <c r="C1841" s="18"/>
      <c r="D1841" s="18"/>
      <c r="E1841" s="18"/>
      <c r="F1841" s="18"/>
      <c r="G1841" s="18"/>
      <c r="H1841" s="18"/>
      <c r="I1841" s="18">
        <v>2455687.71</v>
      </c>
      <c r="J1841" s="18"/>
      <c r="K1841" s="18"/>
      <c r="L1841" s="18"/>
      <c r="M1841" s="18"/>
      <c r="N1841" s="18">
        <v>2455687.71</v>
      </c>
    </row>
    <row r="1842" spans="1:14">
      <c r="A1842" s="347" t="s">
        <v>1101</v>
      </c>
      <c r="B1842" s="18"/>
      <c r="C1842" s="18"/>
      <c r="D1842" s="18"/>
      <c r="E1842" s="18"/>
      <c r="F1842" s="18"/>
      <c r="G1842" s="18"/>
      <c r="H1842" s="18"/>
      <c r="I1842" s="18"/>
      <c r="J1842" s="18"/>
      <c r="K1842" s="18"/>
      <c r="L1842" s="18"/>
      <c r="M1842" s="18"/>
      <c r="N1842" s="18"/>
    </row>
    <row r="1843" spans="1:14">
      <c r="A1843" s="19" t="s">
        <v>1750</v>
      </c>
      <c r="B1843" s="18"/>
      <c r="C1843" s="18"/>
      <c r="D1843" s="18"/>
      <c r="E1843" s="18"/>
      <c r="F1843" s="18"/>
      <c r="G1843" s="18"/>
      <c r="H1843" s="18"/>
      <c r="I1843" s="18">
        <v>3306813</v>
      </c>
      <c r="J1843" s="18"/>
      <c r="K1843" s="18"/>
      <c r="L1843" s="18"/>
      <c r="M1843" s="18"/>
      <c r="N1843" s="18">
        <v>3306813</v>
      </c>
    </row>
    <row r="1844" spans="1:14">
      <c r="A1844" s="19" t="s">
        <v>1540</v>
      </c>
      <c r="B1844" s="18"/>
      <c r="C1844" s="18"/>
      <c r="D1844" s="18"/>
      <c r="E1844" s="18"/>
      <c r="F1844" s="18"/>
      <c r="G1844" s="18"/>
      <c r="H1844" s="18"/>
      <c r="I1844" s="18">
        <v>5854059</v>
      </c>
      <c r="J1844" s="18"/>
      <c r="K1844" s="18"/>
      <c r="L1844" s="18"/>
      <c r="M1844" s="18"/>
      <c r="N1844" s="18">
        <v>5854059</v>
      </c>
    </row>
    <row r="1845" spans="1:14">
      <c r="A1845" s="19" t="s">
        <v>1330</v>
      </c>
      <c r="B1845" s="18"/>
      <c r="C1845" s="18"/>
      <c r="D1845" s="18"/>
      <c r="E1845" s="18"/>
      <c r="F1845" s="18"/>
      <c r="G1845" s="18"/>
      <c r="H1845" s="18"/>
      <c r="I1845" s="18"/>
      <c r="J1845" s="18"/>
      <c r="K1845" s="18"/>
      <c r="L1845" s="18"/>
      <c r="M1845" s="18"/>
      <c r="N1845" s="18"/>
    </row>
    <row r="1846" spans="1:14">
      <c r="A1846" s="19" t="s">
        <v>1120</v>
      </c>
      <c r="B1846" s="18"/>
      <c r="C1846" s="18"/>
      <c r="D1846" s="18"/>
      <c r="E1846" s="18"/>
      <c r="F1846" s="18"/>
      <c r="G1846" s="18"/>
      <c r="H1846" s="18"/>
      <c r="I1846" s="18">
        <v>2455687.71</v>
      </c>
      <c r="J1846" s="18"/>
      <c r="K1846" s="18"/>
      <c r="L1846" s="18"/>
      <c r="M1846" s="18"/>
      <c r="N1846" s="18">
        <v>2455687.71</v>
      </c>
    </row>
    <row r="1847" spans="1:14">
      <c r="A1847" s="19" t="s">
        <v>910</v>
      </c>
      <c r="B1847" s="18"/>
      <c r="C1847" s="18"/>
      <c r="D1847" s="18"/>
      <c r="E1847" s="18"/>
      <c r="F1847" s="18"/>
      <c r="G1847" s="18"/>
      <c r="H1847" s="18"/>
      <c r="I1847" s="18"/>
      <c r="J1847" s="18"/>
      <c r="K1847" s="18"/>
      <c r="L1847" s="18"/>
      <c r="M1847" s="18"/>
      <c r="N1847" s="18"/>
    </row>
    <row r="1848" spans="1:14">
      <c r="A1848" s="4" t="s">
        <v>1942</v>
      </c>
      <c r="B1848" s="18"/>
      <c r="C1848" s="18"/>
      <c r="D1848" s="18"/>
      <c r="E1848" s="18"/>
      <c r="F1848" s="18"/>
      <c r="G1848" s="18"/>
      <c r="H1848" s="18"/>
      <c r="I1848" s="18">
        <v>3306813</v>
      </c>
      <c r="J1848" s="18"/>
      <c r="K1848" s="18"/>
      <c r="L1848" s="18"/>
      <c r="M1848" s="18"/>
      <c r="N1848" s="18">
        <v>3306813</v>
      </c>
    </row>
    <row r="1849" spans="1:14">
      <c r="A1849" s="4" t="s">
        <v>1732</v>
      </c>
      <c r="B1849" s="18"/>
      <c r="C1849" s="18"/>
      <c r="D1849" s="18"/>
      <c r="E1849" s="18"/>
      <c r="F1849" s="18"/>
      <c r="G1849" s="18"/>
      <c r="H1849" s="18"/>
      <c r="I1849" s="18">
        <v>5854059</v>
      </c>
      <c r="J1849" s="18"/>
      <c r="K1849" s="18"/>
      <c r="L1849" s="18"/>
      <c r="M1849" s="18"/>
      <c r="N1849" s="18">
        <v>5854059</v>
      </c>
    </row>
    <row r="1850" spans="1:14">
      <c r="A1850" s="4" t="s">
        <v>1522</v>
      </c>
      <c r="B1850" s="18"/>
      <c r="C1850" s="18"/>
      <c r="D1850" s="18"/>
      <c r="E1850" s="18"/>
      <c r="F1850" s="18"/>
      <c r="G1850" s="18"/>
      <c r="H1850" s="18"/>
      <c r="I1850" s="18"/>
      <c r="J1850" s="18"/>
      <c r="K1850" s="18"/>
      <c r="L1850" s="18"/>
      <c r="M1850" s="18"/>
      <c r="N1850" s="18"/>
    </row>
    <row r="1851" spans="1:14">
      <c r="A1851" s="4" t="s">
        <v>1312</v>
      </c>
      <c r="B1851" s="18"/>
      <c r="C1851" s="18"/>
      <c r="D1851" s="18"/>
      <c r="E1851" s="18"/>
      <c r="F1851" s="18"/>
      <c r="G1851" s="18"/>
      <c r="H1851" s="18"/>
      <c r="I1851" s="18">
        <v>2455687.71</v>
      </c>
      <c r="J1851" s="18"/>
      <c r="K1851" s="18"/>
      <c r="L1851" s="18"/>
      <c r="M1851" s="18"/>
      <c r="N1851" s="18">
        <v>2455687.71</v>
      </c>
    </row>
    <row r="1852" spans="1:14">
      <c r="A1852" s="4" t="s">
        <v>1102</v>
      </c>
      <c r="B1852" s="18"/>
      <c r="C1852" s="18"/>
      <c r="D1852" s="18"/>
      <c r="E1852" s="18"/>
      <c r="F1852" s="18"/>
      <c r="G1852" s="18"/>
      <c r="H1852" s="18"/>
      <c r="I1852" s="18"/>
      <c r="J1852" s="18"/>
      <c r="K1852" s="18"/>
      <c r="L1852" s="18"/>
      <c r="M1852" s="18"/>
      <c r="N1852" s="18"/>
    </row>
    <row r="1853" spans="1:14">
      <c r="A1853" s="4">
        <v>3808325</v>
      </c>
      <c r="B1853" s="18"/>
      <c r="C1853" s="18"/>
      <c r="D1853" s="18"/>
      <c r="E1853" s="18"/>
      <c r="F1853" s="18"/>
      <c r="G1853" s="18"/>
      <c r="H1853" s="18"/>
      <c r="I1853" s="18"/>
      <c r="J1853" s="18"/>
      <c r="K1853" s="18"/>
      <c r="L1853" s="18"/>
      <c r="M1853" s="18"/>
      <c r="N1853" s="18"/>
    </row>
    <row r="1854" spans="1:14">
      <c r="A1854" s="19">
        <v>1512000</v>
      </c>
      <c r="B1854" s="18"/>
      <c r="C1854" s="18"/>
      <c r="D1854" s="18"/>
      <c r="E1854" s="18"/>
      <c r="F1854" s="18"/>
      <c r="G1854" s="18"/>
      <c r="H1854" s="18"/>
      <c r="I1854" s="18"/>
      <c r="J1854" s="18"/>
      <c r="K1854" s="18"/>
      <c r="L1854" s="18"/>
      <c r="M1854" s="18"/>
      <c r="N1854" s="18"/>
    </row>
    <row r="1855" spans="1:14">
      <c r="A1855" s="347">
        <v>7299442</v>
      </c>
      <c r="B1855" s="18"/>
      <c r="C1855" s="18"/>
      <c r="D1855" s="18"/>
      <c r="E1855" s="18"/>
      <c r="F1855" s="18"/>
      <c r="G1855" s="18"/>
      <c r="H1855" s="18"/>
      <c r="I1855" s="18"/>
      <c r="J1855" s="18"/>
      <c r="K1855" s="18"/>
      <c r="L1855" s="18"/>
      <c r="M1855" s="18"/>
      <c r="N1855" s="18"/>
    </row>
    <row r="1856" spans="1:14">
      <c r="A1856" s="489">
        <v>57556</v>
      </c>
      <c r="B1856" s="18"/>
      <c r="C1856" s="18"/>
      <c r="D1856" s="18"/>
      <c r="E1856" s="18"/>
      <c r="F1856" s="18"/>
      <c r="G1856" s="18"/>
      <c r="H1856" s="18"/>
      <c r="I1856" s="18"/>
      <c r="J1856" s="18"/>
      <c r="K1856" s="18"/>
      <c r="L1856" s="18"/>
      <c r="M1856" s="18"/>
      <c r="N1856" s="18"/>
    </row>
    <row r="1857" spans="1:14">
      <c r="A1857" s="753" t="s">
        <v>733</v>
      </c>
      <c r="B1857" s="18"/>
      <c r="C1857" s="18"/>
      <c r="D1857" s="18"/>
      <c r="E1857" s="18"/>
      <c r="F1857" s="18"/>
      <c r="G1857" s="18"/>
      <c r="H1857" s="18"/>
      <c r="I1857" s="18"/>
      <c r="J1857" s="18"/>
      <c r="K1857" s="18"/>
      <c r="L1857" s="18"/>
      <c r="M1857" s="18"/>
      <c r="N1857" s="18"/>
    </row>
    <row r="1858" spans="1:14">
      <c r="A1858" s="754" t="s">
        <v>898</v>
      </c>
      <c r="B1858" s="18"/>
      <c r="C1858" s="18"/>
      <c r="D1858" s="18"/>
      <c r="E1858" s="18"/>
      <c r="F1858" s="18"/>
      <c r="G1858" s="18"/>
      <c r="H1858" s="18"/>
      <c r="I1858" s="18">
        <v>3808325</v>
      </c>
      <c r="J1858" s="18"/>
      <c r="K1858" s="18"/>
      <c r="L1858" s="18"/>
      <c r="M1858" s="18"/>
      <c r="N1858" s="18">
        <v>3808325</v>
      </c>
    </row>
    <row r="1859" spans="1:14">
      <c r="A1859" s="754" t="s">
        <v>901</v>
      </c>
      <c r="B1859" s="18"/>
      <c r="C1859" s="18"/>
      <c r="D1859" s="18"/>
      <c r="E1859" s="18"/>
      <c r="F1859" s="18"/>
      <c r="G1859" s="18"/>
      <c r="H1859" s="18"/>
      <c r="I1859" s="18">
        <v>7299442</v>
      </c>
      <c r="J1859" s="18"/>
      <c r="K1859" s="18"/>
      <c r="L1859" s="18"/>
      <c r="M1859" s="18"/>
      <c r="N1859" s="18">
        <v>7299442</v>
      </c>
    </row>
    <row r="1860" spans="1:14">
      <c r="A1860" s="754" t="s">
        <v>903</v>
      </c>
      <c r="B1860" s="18"/>
      <c r="C1860" s="18"/>
      <c r="D1860" s="18"/>
      <c r="E1860" s="18"/>
      <c r="F1860" s="18"/>
      <c r="G1860" s="18"/>
      <c r="H1860" s="18"/>
      <c r="I1860" s="18">
        <v>1512000</v>
      </c>
      <c r="J1860" s="18"/>
      <c r="K1860" s="18"/>
      <c r="L1860" s="18"/>
      <c r="M1860" s="18"/>
      <c r="N1860" s="18">
        <v>1512000</v>
      </c>
    </row>
    <row r="1861" spans="1:14">
      <c r="A1861" s="754" t="s">
        <v>905</v>
      </c>
      <c r="B1861" s="18"/>
      <c r="C1861" s="18"/>
      <c r="D1861" s="18"/>
      <c r="E1861" s="18"/>
      <c r="F1861" s="18"/>
      <c r="G1861" s="18"/>
      <c r="H1861" s="18"/>
      <c r="I1861" s="18">
        <v>57556</v>
      </c>
      <c r="J1861" s="18"/>
      <c r="K1861" s="18"/>
      <c r="L1861" s="18"/>
      <c r="M1861" s="18"/>
      <c r="N1861" s="18">
        <v>57556</v>
      </c>
    </row>
    <row r="1862" spans="1:14">
      <c r="A1862" s="754" t="s">
        <v>174</v>
      </c>
      <c r="B1862" s="18"/>
      <c r="C1862" s="18"/>
      <c r="D1862" s="18"/>
      <c r="E1862" s="18"/>
      <c r="F1862" s="18"/>
      <c r="G1862" s="18"/>
      <c r="H1862" s="18"/>
      <c r="I1862" s="18"/>
      <c r="J1862" s="18"/>
      <c r="K1862" s="18"/>
      <c r="L1862" s="18"/>
      <c r="M1862" s="18"/>
      <c r="N1862" s="18"/>
    </row>
    <row r="1863" spans="1:14">
      <c r="A1863" s="489" t="s">
        <v>1943</v>
      </c>
      <c r="B1863" s="18"/>
      <c r="C1863" s="18"/>
      <c r="D1863" s="18"/>
      <c r="E1863" s="18"/>
      <c r="F1863" s="18"/>
      <c r="G1863" s="18"/>
      <c r="H1863" s="18"/>
      <c r="I1863" s="18">
        <v>3808325</v>
      </c>
      <c r="J1863" s="18"/>
      <c r="K1863" s="18"/>
      <c r="L1863" s="18"/>
      <c r="M1863" s="18"/>
      <c r="N1863" s="18">
        <v>3808325</v>
      </c>
    </row>
    <row r="1864" spans="1:14">
      <c r="A1864" s="489" t="s">
        <v>1733</v>
      </c>
      <c r="B1864" s="18"/>
      <c r="C1864" s="18"/>
      <c r="D1864" s="18"/>
      <c r="E1864" s="18"/>
      <c r="F1864" s="18"/>
      <c r="G1864" s="18"/>
      <c r="H1864" s="18"/>
      <c r="I1864" s="18">
        <v>7299442</v>
      </c>
      <c r="J1864" s="18"/>
      <c r="K1864" s="18"/>
      <c r="L1864" s="18"/>
      <c r="M1864" s="18"/>
      <c r="N1864" s="18">
        <v>7299442</v>
      </c>
    </row>
    <row r="1865" spans="1:14">
      <c r="A1865" s="489" t="s">
        <v>1523</v>
      </c>
      <c r="B1865" s="18"/>
      <c r="C1865" s="18"/>
      <c r="D1865" s="18"/>
      <c r="E1865" s="18"/>
      <c r="F1865" s="18"/>
      <c r="G1865" s="18"/>
      <c r="H1865" s="18"/>
      <c r="I1865" s="18">
        <v>1512000</v>
      </c>
      <c r="J1865" s="18"/>
      <c r="K1865" s="18"/>
      <c r="L1865" s="18"/>
      <c r="M1865" s="18"/>
      <c r="N1865" s="18">
        <v>1512000</v>
      </c>
    </row>
    <row r="1866" spans="1:14">
      <c r="A1866" s="489" t="s">
        <v>1313</v>
      </c>
      <c r="B1866" s="18"/>
      <c r="C1866" s="18"/>
      <c r="D1866" s="18"/>
      <c r="E1866" s="18"/>
      <c r="F1866" s="18"/>
      <c r="G1866" s="18"/>
      <c r="H1866" s="18"/>
      <c r="I1866" s="18">
        <v>57556</v>
      </c>
      <c r="J1866" s="18"/>
      <c r="K1866" s="18"/>
      <c r="L1866" s="18"/>
      <c r="M1866" s="18"/>
      <c r="N1866" s="18">
        <v>57556</v>
      </c>
    </row>
    <row r="1867" spans="1:14">
      <c r="A1867" s="489" t="s">
        <v>1103</v>
      </c>
      <c r="B1867" s="18"/>
      <c r="C1867" s="18"/>
      <c r="D1867" s="18"/>
      <c r="E1867" s="18"/>
      <c r="F1867" s="18"/>
      <c r="G1867" s="18"/>
      <c r="H1867" s="18"/>
      <c r="I1867" s="18"/>
      <c r="J1867" s="18"/>
      <c r="K1867" s="18"/>
      <c r="L1867" s="18"/>
      <c r="M1867" s="18"/>
      <c r="N1867" s="18"/>
    </row>
    <row r="1868" spans="1:14">
      <c r="A1868" s="347" t="s">
        <v>1944</v>
      </c>
      <c r="B1868" s="18"/>
      <c r="C1868" s="18"/>
      <c r="D1868" s="18"/>
      <c r="E1868" s="18"/>
      <c r="F1868" s="18"/>
      <c r="G1868" s="18"/>
      <c r="H1868" s="18"/>
      <c r="I1868" s="18">
        <v>3808325</v>
      </c>
      <c r="J1868" s="18"/>
      <c r="K1868" s="18"/>
      <c r="L1868" s="18"/>
      <c r="M1868" s="18"/>
      <c r="N1868" s="18">
        <v>3808325</v>
      </c>
    </row>
    <row r="1869" spans="1:14">
      <c r="A1869" s="347" t="s">
        <v>1734</v>
      </c>
      <c r="B1869" s="18"/>
      <c r="C1869" s="18"/>
      <c r="D1869" s="18"/>
      <c r="E1869" s="18"/>
      <c r="F1869" s="18"/>
      <c r="G1869" s="18"/>
      <c r="H1869" s="18"/>
      <c r="I1869" s="18">
        <v>7299442</v>
      </c>
      <c r="J1869" s="18"/>
      <c r="K1869" s="18"/>
      <c r="L1869" s="18"/>
      <c r="M1869" s="18"/>
      <c r="N1869" s="18">
        <v>7299442</v>
      </c>
    </row>
    <row r="1870" spans="1:14">
      <c r="A1870" s="347" t="s">
        <v>1524</v>
      </c>
      <c r="B1870" s="18"/>
      <c r="C1870" s="18"/>
      <c r="D1870" s="18"/>
      <c r="E1870" s="18"/>
      <c r="F1870" s="18"/>
      <c r="G1870" s="18"/>
      <c r="H1870" s="18"/>
      <c r="I1870" s="18">
        <v>1512000</v>
      </c>
      <c r="J1870" s="18"/>
      <c r="K1870" s="18"/>
      <c r="L1870" s="18"/>
      <c r="M1870" s="18"/>
      <c r="N1870" s="18">
        <v>1512000</v>
      </c>
    </row>
    <row r="1871" spans="1:14">
      <c r="A1871" s="347" t="s">
        <v>1314</v>
      </c>
      <c r="B1871" s="18"/>
      <c r="C1871" s="18"/>
      <c r="D1871" s="18"/>
      <c r="E1871" s="18"/>
      <c r="F1871" s="18"/>
      <c r="G1871" s="18"/>
      <c r="H1871" s="18"/>
      <c r="I1871" s="18">
        <v>57556</v>
      </c>
      <c r="J1871" s="18"/>
      <c r="K1871" s="18"/>
      <c r="L1871" s="18"/>
      <c r="M1871" s="18"/>
      <c r="N1871" s="18">
        <v>57556</v>
      </c>
    </row>
    <row r="1872" spans="1:14">
      <c r="A1872" s="347" t="s">
        <v>1104</v>
      </c>
      <c r="B1872" s="18"/>
      <c r="C1872" s="18"/>
      <c r="D1872" s="18"/>
      <c r="E1872" s="18"/>
      <c r="F1872" s="18"/>
      <c r="G1872" s="18"/>
      <c r="H1872" s="18"/>
      <c r="I1872" s="18"/>
      <c r="J1872" s="18"/>
      <c r="K1872" s="18"/>
      <c r="L1872" s="18"/>
      <c r="M1872" s="18"/>
      <c r="N1872" s="18"/>
    </row>
    <row r="1873" spans="1:14">
      <c r="A1873" s="19" t="s">
        <v>1945</v>
      </c>
      <c r="B1873" s="18"/>
      <c r="C1873" s="18"/>
      <c r="D1873" s="18"/>
      <c r="E1873" s="18"/>
      <c r="F1873" s="18"/>
      <c r="G1873" s="18"/>
      <c r="H1873" s="18"/>
      <c r="I1873" s="18">
        <v>3808325</v>
      </c>
      <c r="J1873" s="18"/>
      <c r="K1873" s="18"/>
      <c r="L1873" s="18"/>
      <c r="M1873" s="18"/>
      <c r="N1873" s="18">
        <v>3808325</v>
      </c>
    </row>
    <row r="1874" spans="1:14">
      <c r="A1874" s="19" t="s">
        <v>1735</v>
      </c>
      <c r="B1874" s="18"/>
      <c r="C1874" s="18"/>
      <c r="D1874" s="18"/>
      <c r="E1874" s="18"/>
      <c r="F1874" s="18"/>
      <c r="G1874" s="18"/>
      <c r="H1874" s="18"/>
      <c r="I1874" s="18">
        <v>7299442</v>
      </c>
      <c r="J1874" s="18"/>
      <c r="K1874" s="18"/>
      <c r="L1874" s="18"/>
      <c r="M1874" s="18"/>
      <c r="N1874" s="18">
        <v>7299442</v>
      </c>
    </row>
    <row r="1875" spans="1:14">
      <c r="A1875" s="19" t="s">
        <v>1525</v>
      </c>
      <c r="B1875" s="18"/>
      <c r="C1875" s="18"/>
      <c r="D1875" s="18"/>
      <c r="E1875" s="18"/>
      <c r="F1875" s="18"/>
      <c r="G1875" s="18"/>
      <c r="H1875" s="18"/>
      <c r="I1875" s="18">
        <v>1512000</v>
      </c>
      <c r="J1875" s="18"/>
      <c r="K1875" s="18"/>
      <c r="L1875" s="18"/>
      <c r="M1875" s="18"/>
      <c r="N1875" s="18">
        <v>1512000</v>
      </c>
    </row>
    <row r="1876" spans="1:14">
      <c r="A1876" s="19" t="s">
        <v>1315</v>
      </c>
      <c r="B1876" s="18"/>
      <c r="C1876" s="18"/>
      <c r="D1876" s="18"/>
      <c r="E1876" s="18"/>
      <c r="F1876" s="18"/>
      <c r="G1876" s="18"/>
      <c r="H1876" s="18"/>
      <c r="I1876" s="18">
        <v>57556</v>
      </c>
      <c r="J1876" s="18"/>
      <c r="K1876" s="18"/>
      <c r="L1876" s="18"/>
      <c r="M1876" s="18"/>
      <c r="N1876" s="18">
        <v>57556</v>
      </c>
    </row>
    <row r="1877" spans="1:14">
      <c r="A1877" s="19" t="s">
        <v>1105</v>
      </c>
      <c r="B1877" s="18"/>
      <c r="C1877" s="18"/>
      <c r="D1877" s="18"/>
      <c r="E1877" s="18"/>
      <c r="F1877" s="18"/>
      <c r="G1877" s="18"/>
      <c r="H1877" s="18"/>
      <c r="I1877" s="18"/>
      <c r="J1877" s="18"/>
      <c r="K1877" s="18"/>
      <c r="L1877" s="18"/>
      <c r="M1877" s="18"/>
      <c r="N1877" s="18"/>
    </row>
    <row r="1878" spans="1:14">
      <c r="A1878" s="4" t="s">
        <v>1946</v>
      </c>
      <c r="B1878" s="18"/>
      <c r="C1878" s="18"/>
      <c r="D1878" s="18"/>
      <c r="E1878" s="18"/>
      <c r="F1878" s="18"/>
      <c r="G1878" s="18"/>
      <c r="H1878" s="18"/>
      <c r="I1878" s="18">
        <v>3808325</v>
      </c>
      <c r="J1878" s="18"/>
      <c r="K1878" s="18"/>
      <c r="L1878" s="18"/>
      <c r="M1878" s="18"/>
      <c r="N1878" s="18">
        <v>3808325</v>
      </c>
    </row>
    <row r="1879" spans="1:14">
      <c r="A1879" s="4" t="s">
        <v>1736</v>
      </c>
      <c r="B1879" s="18"/>
      <c r="C1879" s="18"/>
      <c r="D1879" s="18"/>
      <c r="E1879" s="18"/>
      <c r="F1879" s="18"/>
      <c r="G1879" s="18"/>
      <c r="H1879" s="18"/>
      <c r="I1879" s="18">
        <v>7299442</v>
      </c>
      <c r="J1879" s="18"/>
      <c r="K1879" s="18"/>
      <c r="L1879" s="18"/>
      <c r="M1879" s="18"/>
      <c r="N1879" s="18">
        <v>7299442</v>
      </c>
    </row>
    <row r="1880" spans="1:14">
      <c r="A1880" s="4" t="s">
        <v>1526</v>
      </c>
      <c r="B1880" s="18"/>
      <c r="C1880" s="18"/>
      <c r="D1880" s="18"/>
      <c r="E1880" s="18"/>
      <c r="F1880" s="18"/>
      <c r="G1880" s="18"/>
      <c r="H1880" s="18"/>
      <c r="I1880" s="18">
        <v>1512000</v>
      </c>
      <c r="J1880" s="18"/>
      <c r="K1880" s="18"/>
      <c r="L1880" s="18"/>
      <c r="M1880" s="18"/>
      <c r="N1880" s="18">
        <v>1512000</v>
      </c>
    </row>
    <row r="1881" spans="1:14">
      <c r="A1881" s="4" t="s">
        <v>1316</v>
      </c>
      <c r="B1881" s="18"/>
      <c r="C1881" s="18"/>
      <c r="D1881" s="18"/>
      <c r="E1881" s="18"/>
      <c r="F1881" s="18"/>
      <c r="G1881" s="18"/>
      <c r="H1881" s="18"/>
      <c r="I1881" s="18">
        <v>57556</v>
      </c>
      <c r="J1881" s="18"/>
      <c r="K1881" s="18"/>
      <c r="L1881" s="18"/>
      <c r="M1881" s="18"/>
      <c r="N1881" s="18">
        <v>57556</v>
      </c>
    </row>
    <row r="1882" spans="1:14">
      <c r="A1882" s="4" t="s">
        <v>1106</v>
      </c>
      <c r="B1882" s="18"/>
      <c r="C1882" s="18"/>
      <c r="D1882" s="18"/>
      <c r="E1882" s="18"/>
      <c r="F1882" s="18"/>
      <c r="G1882" s="18"/>
      <c r="H1882" s="18"/>
      <c r="I1882" s="18"/>
      <c r="J1882" s="18"/>
      <c r="K1882" s="18"/>
      <c r="L1882" s="18"/>
      <c r="M1882" s="18"/>
      <c r="N1882" s="18"/>
    </row>
    <row r="1883" spans="1:14">
      <c r="A1883" s="4">
        <v>3816022.8</v>
      </c>
      <c r="B1883" s="18"/>
      <c r="C1883" s="18"/>
      <c r="D1883" s="18"/>
      <c r="E1883" s="18"/>
      <c r="F1883" s="18"/>
      <c r="G1883" s="18"/>
      <c r="H1883" s="18"/>
      <c r="I1883" s="18"/>
      <c r="J1883" s="18"/>
      <c r="K1883" s="18"/>
      <c r="L1883" s="18"/>
      <c r="M1883" s="18"/>
      <c r="N1883" s="18"/>
    </row>
    <row r="1884" spans="1:14">
      <c r="A1884" s="19">
        <v>995000</v>
      </c>
      <c r="B1884" s="18"/>
      <c r="C1884" s="18"/>
      <c r="D1884" s="18"/>
      <c r="E1884" s="18"/>
      <c r="F1884" s="18"/>
      <c r="G1884" s="18"/>
      <c r="H1884" s="18"/>
      <c r="I1884" s="18"/>
      <c r="J1884" s="18"/>
      <c r="K1884" s="18"/>
      <c r="L1884" s="18"/>
      <c r="M1884" s="18"/>
      <c r="N1884" s="18"/>
    </row>
    <row r="1885" spans="1:14">
      <c r="A1885" s="347">
        <v>7538525.5099999998</v>
      </c>
      <c r="B1885" s="18"/>
      <c r="C1885" s="18"/>
      <c r="D1885" s="18"/>
      <c r="E1885" s="18"/>
      <c r="F1885" s="18"/>
      <c r="G1885" s="18"/>
      <c r="H1885" s="18"/>
      <c r="I1885" s="18"/>
      <c r="J1885" s="18"/>
      <c r="K1885" s="18"/>
      <c r="L1885" s="18"/>
      <c r="M1885" s="18"/>
      <c r="N1885" s="18"/>
    </row>
    <row r="1886" spans="1:14">
      <c r="A1886" s="489">
        <v>0</v>
      </c>
      <c r="B1886" s="18"/>
      <c r="C1886" s="18"/>
      <c r="D1886" s="18"/>
      <c r="E1886" s="18"/>
      <c r="F1886" s="18"/>
      <c r="G1886" s="18"/>
      <c r="H1886" s="18"/>
      <c r="I1886" s="18"/>
      <c r="J1886" s="18"/>
      <c r="K1886" s="18"/>
      <c r="L1886" s="18"/>
      <c r="M1886" s="18"/>
      <c r="N1886" s="18"/>
    </row>
    <row r="1887" spans="1:14">
      <c r="A1887" s="753" t="s">
        <v>733</v>
      </c>
      <c r="B1887" s="18"/>
      <c r="C1887" s="18"/>
      <c r="D1887" s="18"/>
      <c r="E1887" s="18"/>
      <c r="F1887" s="18"/>
      <c r="G1887" s="18"/>
      <c r="H1887" s="18"/>
      <c r="I1887" s="18"/>
      <c r="J1887" s="18"/>
      <c r="K1887" s="18"/>
      <c r="L1887" s="18"/>
      <c r="M1887" s="18"/>
      <c r="N1887" s="18"/>
    </row>
    <row r="1888" spans="1:14">
      <c r="A1888" s="754" t="s">
        <v>898</v>
      </c>
      <c r="B1888" s="18"/>
      <c r="C1888" s="18"/>
      <c r="D1888" s="18">
        <v>3816022.8</v>
      </c>
      <c r="E1888" s="18"/>
      <c r="F1888" s="18"/>
      <c r="G1888" s="18"/>
      <c r="H1888" s="18"/>
      <c r="I1888" s="18"/>
      <c r="J1888" s="18"/>
      <c r="K1888" s="18"/>
      <c r="L1888" s="18"/>
      <c r="M1888" s="18"/>
      <c r="N1888" s="18">
        <v>3816022.8</v>
      </c>
    </row>
    <row r="1889" spans="1:14">
      <c r="A1889" s="754" t="s">
        <v>901</v>
      </c>
      <c r="B1889" s="18"/>
      <c r="C1889" s="18"/>
      <c r="D1889" s="18">
        <v>7538525.5099999998</v>
      </c>
      <c r="E1889" s="18"/>
      <c r="F1889" s="18"/>
      <c r="G1889" s="18"/>
      <c r="H1889" s="18"/>
      <c r="I1889" s="18"/>
      <c r="J1889" s="18"/>
      <c r="K1889" s="18"/>
      <c r="L1889" s="18"/>
      <c r="M1889" s="18"/>
      <c r="N1889" s="18">
        <v>7538525.5099999998</v>
      </c>
    </row>
    <row r="1890" spans="1:14">
      <c r="A1890" s="754" t="s">
        <v>903</v>
      </c>
      <c r="B1890" s="18"/>
      <c r="C1890" s="18"/>
      <c r="D1890" s="18">
        <v>995000</v>
      </c>
      <c r="E1890" s="18"/>
      <c r="F1890" s="18"/>
      <c r="G1890" s="18"/>
      <c r="H1890" s="18"/>
      <c r="I1890" s="18"/>
      <c r="J1890" s="18"/>
      <c r="K1890" s="18"/>
      <c r="L1890" s="18"/>
      <c r="M1890" s="18"/>
      <c r="N1890" s="18">
        <v>995000</v>
      </c>
    </row>
    <row r="1891" spans="1:14">
      <c r="A1891" s="754" t="s">
        <v>905</v>
      </c>
      <c r="B1891" s="18"/>
      <c r="C1891" s="18"/>
      <c r="D1891" s="18">
        <v>0</v>
      </c>
      <c r="E1891" s="18"/>
      <c r="F1891" s="18"/>
      <c r="G1891" s="18"/>
      <c r="H1891" s="18"/>
      <c r="I1891" s="18"/>
      <c r="J1891" s="18"/>
      <c r="K1891" s="18"/>
      <c r="L1891" s="18"/>
      <c r="M1891" s="18"/>
      <c r="N1891" s="18">
        <v>0</v>
      </c>
    </row>
    <row r="1892" spans="1:14">
      <c r="A1892" s="754" t="s">
        <v>174</v>
      </c>
      <c r="B1892" s="18"/>
      <c r="C1892" s="18"/>
      <c r="D1892" s="18"/>
      <c r="E1892" s="18"/>
      <c r="F1892" s="18"/>
      <c r="G1892" s="18"/>
      <c r="H1892" s="18"/>
      <c r="I1892" s="18"/>
      <c r="J1892" s="18"/>
      <c r="K1892" s="18"/>
      <c r="L1892" s="18"/>
      <c r="M1892" s="18"/>
      <c r="N1892" s="18"/>
    </row>
    <row r="1893" spans="1:14">
      <c r="A1893" s="489" t="s">
        <v>1755</v>
      </c>
      <c r="B1893" s="18"/>
      <c r="C1893" s="18"/>
      <c r="D1893" s="18">
        <v>3816022.8</v>
      </c>
      <c r="E1893" s="18"/>
      <c r="F1893" s="18"/>
      <c r="G1893" s="18"/>
      <c r="H1893" s="18"/>
      <c r="I1893" s="18"/>
      <c r="J1893" s="18"/>
      <c r="K1893" s="18"/>
      <c r="L1893" s="18"/>
      <c r="M1893" s="18"/>
      <c r="N1893" s="18">
        <v>3816022.8</v>
      </c>
    </row>
    <row r="1894" spans="1:14">
      <c r="A1894" s="489" t="s">
        <v>1545</v>
      </c>
      <c r="B1894" s="18"/>
      <c r="C1894" s="18"/>
      <c r="D1894" s="18">
        <v>7538525.5099999998</v>
      </c>
      <c r="E1894" s="18"/>
      <c r="F1894" s="18"/>
      <c r="G1894" s="18"/>
      <c r="H1894" s="18"/>
      <c r="I1894" s="18"/>
      <c r="J1894" s="18"/>
      <c r="K1894" s="18"/>
      <c r="L1894" s="18"/>
      <c r="M1894" s="18"/>
      <c r="N1894" s="18">
        <v>7538525.5099999998</v>
      </c>
    </row>
    <row r="1895" spans="1:14">
      <c r="A1895" s="489" t="s">
        <v>1335</v>
      </c>
      <c r="B1895" s="18"/>
      <c r="C1895" s="18"/>
      <c r="D1895" s="18">
        <v>995000</v>
      </c>
      <c r="E1895" s="18"/>
      <c r="F1895" s="18"/>
      <c r="G1895" s="18"/>
      <c r="H1895" s="18"/>
      <c r="I1895" s="18"/>
      <c r="J1895" s="18"/>
      <c r="K1895" s="18"/>
      <c r="L1895" s="18"/>
      <c r="M1895" s="18"/>
      <c r="N1895" s="18">
        <v>995000</v>
      </c>
    </row>
    <row r="1896" spans="1:14">
      <c r="A1896" s="489" t="s">
        <v>1125</v>
      </c>
      <c r="B1896" s="18"/>
      <c r="C1896" s="18"/>
      <c r="D1896" s="18">
        <v>0</v>
      </c>
      <c r="E1896" s="18"/>
      <c r="F1896" s="18"/>
      <c r="G1896" s="18"/>
      <c r="H1896" s="18"/>
      <c r="I1896" s="18"/>
      <c r="J1896" s="18"/>
      <c r="K1896" s="18"/>
      <c r="L1896" s="18"/>
      <c r="M1896" s="18"/>
      <c r="N1896" s="18">
        <v>0</v>
      </c>
    </row>
    <row r="1897" spans="1:14">
      <c r="A1897" s="489" t="s">
        <v>915</v>
      </c>
      <c r="B1897" s="18"/>
      <c r="C1897" s="18"/>
      <c r="D1897" s="18"/>
      <c r="E1897" s="18"/>
      <c r="F1897" s="18"/>
      <c r="G1897" s="18"/>
      <c r="H1897" s="18"/>
      <c r="I1897" s="18"/>
      <c r="J1897" s="18"/>
      <c r="K1897" s="18"/>
      <c r="L1897" s="18"/>
      <c r="M1897" s="18"/>
      <c r="N1897" s="18"/>
    </row>
    <row r="1898" spans="1:14">
      <c r="A1898" s="347" t="s">
        <v>1947</v>
      </c>
      <c r="B1898" s="18"/>
      <c r="C1898" s="18"/>
      <c r="D1898" s="18">
        <v>3816022.8</v>
      </c>
      <c r="E1898" s="18"/>
      <c r="F1898" s="18"/>
      <c r="G1898" s="18"/>
      <c r="H1898" s="18"/>
      <c r="I1898" s="18"/>
      <c r="J1898" s="18"/>
      <c r="K1898" s="18"/>
      <c r="L1898" s="18"/>
      <c r="M1898" s="18"/>
      <c r="N1898" s="18">
        <v>3816022.8</v>
      </c>
    </row>
    <row r="1899" spans="1:14">
      <c r="A1899" s="347" t="s">
        <v>1737</v>
      </c>
      <c r="B1899" s="18"/>
      <c r="C1899" s="18"/>
      <c r="D1899" s="18">
        <v>7538525.5099999998</v>
      </c>
      <c r="E1899" s="18"/>
      <c r="F1899" s="18"/>
      <c r="G1899" s="18"/>
      <c r="H1899" s="18"/>
      <c r="I1899" s="18"/>
      <c r="J1899" s="18"/>
      <c r="K1899" s="18"/>
      <c r="L1899" s="18"/>
      <c r="M1899" s="18"/>
      <c r="N1899" s="18">
        <v>7538525.5099999998</v>
      </c>
    </row>
    <row r="1900" spans="1:14">
      <c r="A1900" s="347" t="s">
        <v>1527</v>
      </c>
      <c r="B1900" s="18"/>
      <c r="C1900" s="18"/>
      <c r="D1900" s="18">
        <v>995000</v>
      </c>
      <c r="E1900" s="18"/>
      <c r="F1900" s="18"/>
      <c r="G1900" s="18"/>
      <c r="H1900" s="18"/>
      <c r="I1900" s="18"/>
      <c r="J1900" s="18"/>
      <c r="K1900" s="18"/>
      <c r="L1900" s="18"/>
      <c r="M1900" s="18"/>
      <c r="N1900" s="18">
        <v>995000</v>
      </c>
    </row>
    <row r="1901" spans="1:14">
      <c r="A1901" s="347" t="s">
        <v>1317</v>
      </c>
      <c r="B1901" s="18"/>
      <c r="C1901" s="18"/>
      <c r="D1901" s="18">
        <v>0</v>
      </c>
      <c r="E1901" s="18"/>
      <c r="F1901" s="18"/>
      <c r="G1901" s="18"/>
      <c r="H1901" s="18"/>
      <c r="I1901" s="18"/>
      <c r="J1901" s="18"/>
      <c r="K1901" s="18"/>
      <c r="L1901" s="18"/>
      <c r="M1901" s="18"/>
      <c r="N1901" s="18">
        <v>0</v>
      </c>
    </row>
    <row r="1902" spans="1:14">
      <c r="A1902" s="347" t="s">
        <v>1107</v>
      </c>
      <c r="B1902" s="18"/>
      <c r="C1902" s="18"/>
      <c r="D1902" s="18"/>
      <c r="E1902" s="18"/>
      <c r="F1902" s="18"/>
      <c r="G1902" s="18"/>
      <c r="H1902" s="18"/>
      <c r="I1902" s="18"/>
      <c r="J1902" s="18"/>
      <c r="K1902" s="18"/>
      <c r="L1902" s="18"/>
      <c r="M1902" s="18"/>
      <c r="N1902" s="18"/>
    </row>
    <row r="1903" spans="1:14">
      <c r="A1903" s="19" t="s">
        <v>1948</v>
      </c>
      <c r="B1903" s="18"/>
      <c r="C1903" s="18"/>
      <c r="D1903" s="18">
        <v>3816022.8</v>
      </c>
      <c r="E1903" s="18"/>
      <c r="F1903" s="18"/>
      <c r="G1903" s="18"/>
      <c r="H1903" s="18"/>
      <c r="I1903" s="18"/>
      <c r="J1903" s="18"/>
      <c r="K1903" s="18"/>
      <c r="L1903" s="18"/>
      <c r="M1903" s="18"/>
      <c r="N1903" s="18">
        <v>3816022.8</v>
      </c>
    </row>
    <row r="1904" spans="1:14">
      <c r="A1904" s="19" t="s">
        <v>1738</v>
      </c>
      <c r="B1904" s="18"/>
      <c r="C1904" s="18"/>
      <c r="D1904" s="18">
        <v>7538525.5099999998</v>
      </c>
      <c r="E1904" s="18"/>
      <c r="F1904" s="18"/>
      <c r="G1904" s="18"/>
      <c r="H1904" s="18"/>
      <c r="I1904" s="18"/>
      <c r="J1904" s="18"/>
      <c r="K1904" s="18"/>
      <c r="L1904" s="18"/>
      <c r="M1904" s="18"/>
      <c r="N1904" s="18">
        <v>7538525.5099999998</v>
      </c>
    </row>
    <row r="1905" spans="1:14">
      <c r="A1905" s="19" t="s">
        <v>1528</v>
      </c>
      <c r="B1905" s="18"/>
      <c r="C1905" s="18"/>
      <c r="D1905" s="18">
        <v>995000</v>
      </c>
      <c r="E1905" s="18"/>
      <c r="F1905" s="18"/>
      <c r="G1905" s="18"/>
      <c r="H1905" s="18"/>
      <c r="I1905" s="18"/>
      <c r="J1905" s="18"/>
      <c r="K1905" s="18"/>
      <c r="L1905" s="18"/>
      <c r="M1905" s="18"/>
      <c r="N1905" s="18">
        <v>995000</v>
      </c>
    </row>
    <row r="1906" spans="1:14">
      <c r="A1906" s="19" t="s">
        <v>1318</v>
      </c>
      <c r="B1906" s="18"/>
      <c r="C1906" s="18"/>
      <c r="D1906" s="18">
        <v>0</v>
      </c>
      <c r="E1906" s="18"/>
      <c r="F1906" s="18"/>
      <c r="G1906" s="18"/>
      <c r="H1906" s="18"/>
      <c r="I1906" s="18"/>
      <c r="J1906" s="18"/>
      <c r="K1906" s="18"/>
      <c r="L1906" s="18"/>
      <c r="M1906" s="18"/>
      <c r="N1906" s="18">
        <v>0</v>
      </c>
    </row>
    <row r="1907" spans="1:14">
      <c r="A1907" s="19" t="s">
        <v>1108</v>
      </c>
      <c r="B1907" s="18"/>
      <c r="C1907" s="18"/>
      <c r="D1907" s="18"/>
      <c r="E1907" s="18"/>
      <c r="F1907" s="18"/>
      <c r="G1907" s="18"/>
      <c r="H1907" s="18"/>
      <c r="I1907" s="18"/>
      <c r="J1907" s="18"/>
      <c r="K1907" s="18"/>
      <c r="L1907" s="18"/>
      <c r="M1907" s="18"/>
      <c r="N1907" s="18"/>
    </row>
    <row r="1908" spans="1:14">
      <c r="A1908" s="4" t="s">
        <v>1949</v>
      </c>
      <c r="B1908" s="18"/>
      <c r="C1908" s="18"/>
      <c r="D1908" s="18">
        <v>3816022.8</v>
      </c>
      <c r="E1908" s="18"/>
      <c r="F1908" s="18"/>
      <c r="G1908" s="18"/>
      <c r="H1908" s="18"/>
      <c r="I1908" s="18"/>
      <c r="J1908" s="18"/>
      <c r="K1908" s="18"/>
      <c r="L1908" s="18"/>
      <c r="M1908" s="18"/>
      <c r="N1908" s="18">
        <v>3816022.8</v>
      </c>
    </row>
    <row r="1909" spans="1:14">
      <c r="A1909" s="4" t="s">
        <v>1739</v>
      </c>
      <c r="B1909" s="18"/>
      <c r="C1909" s="18"/>
      <c r="D1909" s="18">
        <v>7538525.5099999998</v>
      </c>
      <c r="E1909" s="18"/>
      <c r="F1909" s="18"/>
      <c r="G1909" s="18"/>
      <c r="H1909" s="18"/>
      <c r="I1909" s="18"/>
      <c r="J1909" s="18"/>
      <c r="K1909" s="18"/>
      <c r="L1909" s="18"/>
      <c r="M1909" s="18"/>
      <c r="N1909" s="18">
        <v>7538525.5099999998</v>
      </c>
    </row>
    <row r="1910" spans="1:14">
      <c r="A1910" s="4" t="s">
        <v>1529</v>
      </c>
      <c r="B1910" s="18"/>
      <c r="C1910" s="18"/>
      <c r="D1910" s="18">
        <v>995000</v>
      </c>
      <c r="E1910" s="18"/>
      <c r="F1910" s="18"/>
      <c r="G1910" s="18"/>
      <c r="H1910" s="18"/>
      <c r="I1910" s="18"/>
      <c r="J1910" s="18"/>
      <c r="K1910" s="18"/>
      <c r="L1910" s="18"/>
      <c r="M1910" s="18"/>
      <c r="N1910" s="18">
        <v>995000</v>
      </c>
    </row>
    <row r="1911" spans="1:14">
      <c r="A1911" s="4" t="s">
        <v>1319</v>
      </c>
      <c r="B1911" s="18"/>
      <c r="C1911" s="18"/>
      <c r="D1911" s="18">
        <v>0</v>
      </c>
      <c r="E1911" s="18"/>
      <c r="F1911" s="18"/>
      <c r="G1911" s="18"/>
      <c r="H1911" s="18"/>
      <c r="I1911" s="18"/>
      <c r="J1911" s="18"/>
      <c r="K1911" s="18"/>
      <c r="L1911" s="18"/>
      <c r="M1911" s="18"/>
      <c r="N1911" s="18">
        <v>0</v>
      </c>
    </row>
    <row r="1912" spans="1:14">
      <c r="A1912" s="4" t="s">
        <v>1109</v>
      </c>
      <c r="B1912" s="18"/>
      <c r="C1912" s="18"/>
      <c r="D1912" s="18"/>
      <c r="E1912" s="18"/>
      <c r="F1912" s="18"/>
      <c r="G1912" s="18"/>
      <c r="H1912" s="18"/>
      <c r="I1912" s="18"/>
      <c r="J1912" s="18"/>
      <c r="K1912" s="18"/>
      <c r="L1912" s="18"/>
      <c r="M1912" s="18"/>
      <c r="N1912" s="18"/>
    </row>
    <row r="1913" spans="1:14">
      <c r="A1913" s="4">
        <v>4422509</v>
      </c>
      <c r="B1913" s="18"/>
      <c r="C1913" s="18"/>
      <c r="D1913" s="18"/>
      <c r="E1913" s="18"/>
      <c r="F1913" s="18"/>
      <c r="G1913" s="18"/>
      <c r="H1913" s="18"/>
      <c r="I1913" s="18"/>
      <c r="J1913" s="18"/>
      <c r="K1913" s="18"/>
      <c r="L1913" s="18"/>
      <c r="M1913" s="18"/>
      <c r="N1913" s="18"/>
    </row>
    <row r="1914" spans="1:14">
      <c r="A1914" s="19">
        <v>1245000</v>
      </c>
      <c r="B1914" s="18"/>
      <c r="C1914" s="18"/>
      <c r="D1914" s="18"/>
      <c r="E1914" s="18"/>
      <c r="F1914" s="18"/>
      <c r="G1914" s="18"/>
      <c r="H1914" s="18"/>
      <c r="I1914" s="18"/>
      <c r="J1914" s="18"/>
      <c r="K1914" s="18"/>
      <c r="L1914" s="18"/>
      <c r="M1914" s="18"/>
      <c r="N1914" s="18"/>
    </row>
    <row r="1915" spans="1:14">
      <c r="A1915" s="347">
        <v>8282245</v>
      </c>
      <c r="B1915" s="18"/>
      <c r="C1915" s="18"/>
      <c r="D1915" s="18"/>
      <c r="E1915" s="18"/>
      <c r="F1915" s="18"/>
      <c r="G1915" s="18"/>
      <c r="H1915" s="18"/>
      <c r="I1915" s="18"/>
      <c r="J1915" s="18"/>
      <c r="K1915" s="18"/>
      <c r="L1915" s="18"/>
      <c r="M1915" s="18"/>
      <c r="N1915" s="18"/>
    </row>
    <row r="1916" spans="1:14">
      <c r="A1916" s="489">
        <v>0</v>
      </c>
      <c r="B1916" s="18"/>
      <c r="C1916" s="18"/>
      <c r="D1916" s="18"/>
      <c r="E1916" s="18"/>
      <c r="F1916" s="18"/>
      <c r="G1916" s="18"/>
      <c r="H1916" s="18"/>
      <c r="I1916" s="18"/>
      <c r="J1916" s="18"/>
      <c r="K1916" s="18"/>
      <c r="L1916" s="18"/>
      <c r="M1916" s="18"/>
      <c r="N1916" s="18"/>
    </row>
    <row r="1917" spans="1:14">
      <c r="A1917" s="753">
        <v>0</v>
      </c>
      <c r="B1917" s="18"/>
      <c r="C1917" s="18"/>
      <c r="D1917" s="18"/>
      <c r="E1917" s="18"/>
      <c r="F1917" s="18"/>
      <c r="G1917" s="18"/>
      <c r="H1917" s="18"/>
      <c r="I1917" s="18"/>
      <c r="J1917" s="18"/>
      <c r="K1917" s="18"/>
      <c r="L1917" s="18"/>
      <c r="M1917" s="18"/>
      <c r="N1917" s="18"/>
    </row>
    <row r="1918" spans="1:14">
      <c r="A1918" s="754" t="s">
        <v>898</v>
      </c>
      <c r="B1918" s="18"/>
      <c r="C1918" s="18"/>
      <c r="D1918" s="18"/>
      <c r="E1918" s="18">
        <v>4422509</v>
      </c>
      <c r="F1918" s="18"/>
      <c r="G1918" s="18"/>
      <c r="H1918" s="18"/>
      <c r="I1918" s="18"/>
      <c r="J1918" s="18"/>
      <c r="K1918" s="18"/>
      <c r="L1918" s="18"/>
      <c r="M1918" s="18"/>
      <c r="N1918" s="18">
        <v>4422509</v>
      </c>
    </row>
    <row r="1919" spans="1:14">
      <c r="A1919" s="754" t="s">
        <v>901</v>
      </c>
      <c r="B1919" s="18"/>
      <c r="C1919" s="18"/>
      <c r="D1919" s="18"/>
      <c r="E1919" s="18">
        <v>8282245</v>
      </c>
      <c r="F1919" s="18"/>
      <c r="G1919" s="18"/>
      <c r="H1919" s="18"/>
      <c r="I1919" s="18"/>
      <c r="J1919" s="18"/>
      <c r="K1919" s="18"/>
      <c r="L1919" s="18"/>
      <c r="M1919" s="18"/>
      <c r="N1919" s="18">
        <v>8282245</v>
      </c>
    </row>
    <row r="1920" spans="1:14">
      <c r="A1920" s="754" t="s">
        <v>903</v>
      </c>
      <c r="B1920" s="18"/>
      <c r="C1920" s="18"/>
      <c r="D1920" s="18"/>
      <c r="E1920" s="18">
        <v>1245000</v>
      </c>
      <c r="F1920" s="18"/>
      <c r="G1920" s="18"/>
      <c r="H1920" s="18"/>
      <c r="I1920" s="18"/>
      <c r="J1920" s="18"/>
      <c r="K1920" s="18"/>
      <c r="L1920" s="18"/>
      <c r="M1920" s="18"/>
      <c r="N1920" s="18">
        <v>1245000</v>
      </c>
    </row>
    <row r="1921" spans="1:14">
      <c r="A1921" s="754" t="s">
        <v>905</v>
      </c>
      <c r="B1921" s="18"/>
      <c r="C1921" s="18"/>
      <c r="D1921" s="18"/>
      <c r="E1921" s="18">
        <v>0</v>
      </c>
      <c r="F1921" s="18"/>
      <c r="G1921" s="18"/>
      <c r="H1921" s="18"/>
      <c r="I1921" s="18"/>
      <c r="J1921" s="18"/>
      <c r="K1921" s="18"/>
      <c r="L1921" s="18"/>
      <c r="M1921" s="18"/>
      <c r="N1921" s="18">
        <v>0</v>
      </c>
    </row>
    <row r="1922" spans="1:14">
      <c r="A1922" s="754" t="s">
        <v>174</v>
      </c>
      <c r="B1922" s="18"/>
      <c r="C1922" s="18"/>
      <c r="D1922" s="18"/>
      <c r="E1922" s="18">
        <v>0</v>
      </c>
      <c r="F1922" s="18"/>
      <c r="G1922" s="18"/>
      <c r="H1922" s="18"/>
      <c r="I1922" s="18"/>
      <c r="J1922" s="18"/>
      <c r="K1922" s="18"/>
      <c r="L1922" s="18"/>
      <c r="M1922" s="18"/>
      <c r="N1922" s="18">
        <v>0</v>
      </c>
    </row>
    <row r="1923" spans="1:14">
      <c r="A1923" s="489" t="s">
        <v>1755</v>
      </c>
      <c r="B1923" s="18"/>
      <c r="C1923" s="18"/>
      <c r="D1923" s="18"/>
      <c r="E1923" s="18">
        <v>4422509</v>
      </c>
      <c r="F1923" s="18"/>
      <c r="G1923" s="18"/>
      <c r="H1923" s="18"/>
      <c r="I1923" s="18"/>
      <c r="J1923" s="18"/>
      <c r="K1923" s="18"/>
      <c r="L1923" s="18"/>
      <c r="M1923" s="18"/>
      <c r="N1923" s="18">
        <v>4422509</v>
      </c>
    </row>
    <row r="1924" spans="1:14">
      <c r="A1924" s="489" t="s">
        <v>1545</v>
      </c>
      <c r="B1924" s="18"/>
      <c r="C1924" s="18"/>
      <c r="D1924" s="18"/>
      <c r="E1924" s="18">
        <v>8282245</v>
      </c>
      <c r="F1924" s="18"/>
      <c r="G1924" s="18"/>
      <c r="H1924" s="18"/>
      <c r="I1924" s="18"/>
      <c r="J1924" s="18"/>
      <c r="K1924" s="18"/>
      <c r="L1924" s="18"/>
      <c r="M1924" s="18"/>
      <c r="N1924" s="18">
        <v>8282245</v>
      </c>
    </row>
    <row r="1925" spans="1:14">
      <c r="A1925" s="489" t="s">
        <v>1335</v>
      </c>
      <c r="B1925" s="18"/>
      <c r="C1925" s="18"/>
      <c r="D1925" s="18"/>
      <c r="E1925" s="18">
        <v>1245000</v>
      </c>
      <c r="F1925" s="18"/>
      <c r="G1925" s="18"/>
      <c r="H1925" s="18"/>
      <c r="I1925" s="18"/>
      <c r="J1925" s="18"/>
      <c r="K1925" s="18"/>
      <c r="L1925" s="18"/>
      <c r="M1925" s="18"/>
      <c r="N1925" s="18">
        <v>1245000</v>
      </c>
    </row>
    <row r="1926" spans="1:14">
      <c r="A1926" s="489" t="s">
        <v>1125</v>
      </c>
      <c r="B1926" s="18"/>
      <c r="C1926" s="18"/>
      <c r="D1926" s="18"/>
      <c r="E1926" s="18">
        <v>0</v>
      </c>
      <c r="F1926" s="18"/>
      <c r="G1926" s="18"/>
      <c r="H1926" s="18"/>
      <c r="I1926" s="18"/>
      <c r="J1926" s="18"/>
      <c r="K1926" s="18"/>
      <c r="L1926" s="18"/>
      <c r="M1926" s="18"/>
      <c r="N1926" s="18">
        <v>0</v>
      </c>
    </row>
    <row r="1927" spans="1:14">
      <c r="A1927" s="489" t="s">
        <v>915</v>
      </c>
      <c r="B1927" s="18"/>
      <c r="C1927" s="18"/>
      <c r="D1927" s="18"/>
      <c r="E1927" s="18">
        <v>0</v>
      </c>
      <c r="F1927" s="18"/>
      <c r="G1927" s="18"/>
      <c r="H1927" s="18"/>
      <c r="I1927" s="18"/>
      <c r="J1927" s="18"/>
      <c r="K1927" s="18"/>
      <c r="L1927" s="18"/>
      <c r="M1927" s="18"/>
      <c r="N1927" s="18">
        <v>0</v>
      </c>
    </row>
    <row r="1928" spans="1:14">
      <c r="A1928" s="347" t="s">
        <v>1950</v>
      </c>
      <c r="B1928" s="18"/>
      <c r="C1928" s="18"/>
      <c r="D1928" s="18"/>
      <c r="E1928" s="18">
        <v>4422509</v>
      </c>
      <c r="F1928" s="18"/>
      <c r="G1928" s="18"/>
      <c r="H1928" s="18"/>
      <c r="I1928" s="18"/>
      <c r="J1928" s="18"/>
      <c r="K1928" s="18"/>
      <c r="L1928" s="18"/>
      <c r="M1928" s="18"/>
      <c r="N1928" s="18">
        <v>4422509</v>
      </c>
    </row>
    <row r="1929" spans="1:14">
      <c r="A1929" s="347" t="s">
        <v>1740</v>
      </c>
      <c r="B1929" s="18"/>
      <c r="C1929" s="18"/>
      <c r="D1929" s="18"/>
      <c r="E1929" s="18">
        <v>8282245</v>
      </c>
      <c r="F1929" s="18"/>
      <c r="G1929" s="18"/>
      <c r="H1929" s="18"/>
      <c r="I1929" s="18"/>
      <c r="J1929" s="18"/>
      <c r="K1929" s="18"/>
      <c r="L1929" s="18"/>
      <c r="M1929" s="18"/>
      <c r="N1929" s="18">
        <v>8282245</v>
      </c>
    </row>
    <row r="1930" spans="1:14">
      <c r="A1930" s="347" t="s">
        <v>1530</v>
      </c>
      <c r="B1930" s="18"/>
      <c r="C1930" s="18"/>
      <c r="D1930" s="18"/>
      <c r="E1930" s="18">
        <v>1245000</v>
      </c>
      <c r="F1930" s="18"/>
      <c r="G1930" s="18"/>
      <c r="H1930" s="18"/>
      <c r="I1930" s="18"/>
      <c r="J1930" s="18"/>
      <c r="K1930" s="18"/>
      <c r="L1930" s="18"/>
      <c r="M1930" s="18"/>
      <c r="N1930" s="18">
        <v>1245000</v>
      </c>
    </row>
    <row r="1931" spans="1:14">
      <c r="A1931" s="347" t="s">
        <v>1320</v>
      </c>
      <c r="B1931" s="18"/>
      <c r="C1931" s="18"/>
      <c r="D1931" s="18"/>
      <c r="E1931" s="18">
        <v>0</v>
      </c>
      <c r="F1931" s="18"/>
      <c r="G1931" s="18"/>
      <c r="H1931" s="18"/>
      <c r="I1931" s="18"/>
      <c r="J1931" s="18"/>
      <c r="K1931" s="18"/>
      <c r="L1931" s="18"/>
      <c r="M1931" s="18"/>
      <c r="N1931" s="18">
        <v>0</v>
      </c>
    </row>
    <row r="1932" spans="1:14">
      <c r="A1932" s="347" t="s">
        <v>1110</v>
      </c>
      <c r="B1932" s="18"/>
      <c r="C1932" s="18"/>
      <c r="D1932" s="18"/>
      <c r="E1932" s="18">
        <v>0</v>
      </c>
      <c r="F1932" s="18"/>
      <c r="G1932" s="18"/>
      <c r="H1932" s="18"/>
      <c r="I1932" s="18"/>
      <c r="J1932" s="18"/>
      <c r="K1932" s="18"/>
      <c r="L1932" s="18"/>
      <c r="M1932" s="18"/>
      <c r="N1932" s="18">
        <v>0</v>
      </c>
    </row>
    <row r="1933" spans="1:14">
      <c r="A1933" s="19" t="s">
        <v>1951</v>
      </c>
      <c r="B1933" s="18"/>
      <c r="C1933" s="18"/>
      <c r="D1933" s="18"/>
      <c r="E1933" s="18">
        <v>4422509</v>
      </c>
      <c r="F1933" s="18"/>
      <c r="G1933" s="18"/>
      <c r="H1933" s="18"/>
      <c r="I1933" s="18"/>
      <c r="J1933" s="18"/>
      <c r="K1933" s="18"/>
      <c r="L1933" s="18"/>
      <c r="M1933" s="18"/>
      <c r="N1933" s="18">
        <v>4422509</v>
      </c>
    </row>
    <row r="1934" spans="1:14">
      <c r="A1934" s="19" t="s">
        <v>1741</v>
      </c>
      <c r="B1934" s="18"/>
      <c r="C1934" s="18"/>
      <c r="D1934" s="18"/>
      <c r="E1934" s="18">
        <v>8282245</v>
      </c>
      <c r="F1934" s="18"/>
      <c r="G1934" s="18"/>
      <c r="H1934" s="18"/>
      <c r="I1934" s="18"/>
      <c r="J1934" s="18"/>
      <c r="K1934" s="18"/>
      <c r="L1934" s="18"/>
      <c r="M1934" s="18"/>
      <c r="N1934" s="18">
        <v>8282245</v>
      </c>
    </row>
    <row r="1935" spans="1:14">
      <c r="A1935" s="19" t="s">
        <v>1531</v>
      </c>
      <c r="B1935" s="18"/>
      <c r="C1935" s="18"/>
      <c r="D1935" s="18"/>
      <c r="E1935" s="18">
        <v>1245000</v>
      </c>
      <c r="F1935" s="18"/>
      <c r="G1935" s="18"/>
      <c r="H1935" s="18"/>
      <c r="I1935" s="18"/>
      <c r="J1935" s="18"/>
      <c r="K1935" s="18"/>
      <c r="L1935" s="18"/>
      <c r="M1935" s="18"/>
      <c r="N1935" s="18">
        <v>1245000</v>
      </c>
    </row>
    <row r="1936" spans="1:14">
      <c r="A1936" s="19" t="s">
        <v>1321</v>
      </c>
      <c r="B1936" s="18"/>
      <c r="C1936" s="18"/>
      <c r="D1936" s="18"/>
      <c r="E1936" s="18">
        <v>0</v>
      </c>
      <c r="F1936" s="18"/>
      <c r="G1936" s="18"/>
      <c r="H1936" s="18"/>
      <c r="I1936" s="18"/>
      <c r="J1936" s="18"/>
      <c r="K1936" s="18"/>
      <c r="L1936" s="18"/>
      <c r="M1936" s="18"/>
      <c r="N1936" s="18">
        <v>0</v>
      </c>
    </row>
    <row r="1937" spans="1:14">
      <c r="A1937" s="19" t="s">
        <v>1111</v>
      </c>
      <c r="B1937" s="18"/>
      <c r="C1937" s="18"/>
      <c r="D1937" s="18"/>
      <c r="E1937" s="18">
        <v>0</v>
      </c>
      <c r="F1937" s="18"/>
      <c r="G1937" s="18"/>
      <c r="H1937" s="18"/>
      <c r="I1937" s="18"/>
      <c r="J1937" s="18"/>
      <c r="K1937" s="18"/>
      <c r="L1937" s="18"/>
      <c r="M1937" s="18"/>
      <c r="N1937" s="18">
        <v>0</v>
      </c>
    </row>
    <row r="1938" spans="1:14">
      <c r="A1938" s="4" t="s">
        <v>1952</v>
      </c>
      <c r="B1938" s="18"/>
      <c r="C1938" s="18"/>
      <c r="D1938" s="18"/>
      <c r="E1938" s="18">
        <v>4422509</v>
      </c>
      <c r="F1938" s="18"/>
      <c r="G1938" s="18"/>
      <c r="H1938" s="18"/>
      <c r="I1938" s="18"/>
      <c r="J1938" s="18"/>
      <c r="K1938" s="18"/>
      <c r="L1938" s="18"/>
      <c r="M1938" s="18"/>
      <c r="N1938" s="18">
        <v>4422509</v>
      </c>
    </row>
    <row r="1939" spans="1:14">
      <c r="A1939" s="4" t="s">
        <v>1742</v>
      </c>
      <c r="B1939" s="18"/>
      <c r="C1939" s="18"/>
      <c r="D1939" s="18"/>
      <c r="E1939" s="18">
        <v>8282245</v>
      </c>
      <c r="F1939" s="18"/>
      <c r="G1939" s="18"/>
      <c r="H1939" s="18"/>
      <c r="I1939" s="18"/>
      <c r="J1939" s="18"/>
      <c r="K1939" s="18"/>
      <c r="L1939" s="18"/>
      <c r="M1939" s="18"/>
      <c r="N1939" s="18">
        <v>8282245</v>
      </c>
    </row>
    <row r="1940" spans="1:14">
      <c r="A1940" s="4" t="s">
        <v>1532</v>
      </c>
      <c r="B1940" s="18"/>
      <c r="C1940" s="18"/>
      <c r="D1940" s="18"/>
      <c r="E1940" s="18">
        <v>1245000</v>
      </c>
      <c r="F1940" s="18"/>
      <c r="G1940" s="18"/>
      <c r="H1940" s="18"/>
      <c r="I1940" s="18"/>
      <c r="J1940" s="18"/>
      <c r="K1940" s="18"/>
      <c r="L1940" s="18"/>
      <c r="M1940" s="18"/>
      <c r="N1940" s="18">
        <v>1245000</v>
      </c>
    </row>
    <row r="1941" spans="1:14">
      <c r="A1941" s="4" t="s">
        <v>1322</v>
      </c>
      <c r="B1941" s="18"/>
      <c r="C1941" s="18"/>
      <c r="D1941" s="18"/>
      <c r="E1941" s="18">
        <v>0</v>
      </c>
      <c r="F1941" s="18"/>
      <c r="G1941" s="18"/>
      <c r="H1941" s="18"/>
      <c r="I1941" s="18"/>
      <c r="J1941" s="18"/>
      <c r="K1941" s="18"/>
      <c r="L1941" s="18"/>
      <c r="M1941" s="18"/>
      <c r="N1941" s="18">
        <v>0</v>
      </c>
    </row>
    <row r="1942" spans="1:14">
      <c r="A1942" s="4" t="s">
        <v>1112</v>
      </c>
      <c r="B1942" s="18"/>
      <c r="C1942" s="18"/>
      <c r="D1942" s="18"/>
      <c r="E1942" s="18">
        <v>0</v>
      </c>
      <c r="F1942" s="18"/>
      <c r="G1942" s="18"/>
      <c r="H1942" s="18"/>
      <c r="I1942" s="18"/>
      <c r="J1942" s="18"/>
      <c r="K1942" s="18"/>
      <c r="L1942" s="18"/>
      <c r="M1942" s="18"/>
      <c r="N1942" s="18">
        <v>0</v>
      </c>
    </row>
    <row r="1943" spans="1:14">
      <c r="A1943" s="4" t="s">
        <v>733</v>
      </c>
      <c r="B1943" s="18"/>
      <c r="C1943" s="18"/>
      <c r="D1943" s="18"/>
      <c r="E1943" s="18"/>
      <c r="F1943" s="18"/>
      <c r="G1943" s="18"/>
      <c r="H1943" s="18"/>
      <c r="I1943" s="18"/>
      <c r="J1943" s="18"/>
      <c r="K1943" s="18"/>
      <c r="L1943" s="18"/>
      <c r="M1943" s="18"/>
      <c r="N1943" s="18"/>
    </row>
    <row r="1944" spans="1:14">
      <c r="A1944" s="19" t="s">
        <v>733</v>
      </c>
      <c r="B1944" s="18"/>
      <c r="C1944" s="18"/>
      <c r="D1944" s="18"/>
      <c r="E1944" s="18"/>
      <c r="F1944" s="18"/>
      <c r="G1944" s="18"/>
      <c r="H1944" s="18"/>
      <c r="I1944" s="18"/>
      <c r="J1944" s="18"/>
      <c r="K1944" s="18"/>
      <c r="L1944" s="18"/>
      <c r="M1944" s="18"/>
      <c r="N1944" s="18"/>
    </row>
    <row r="1945" spans="1:14">
      <c r="A1945" s="347">
        <v>0</v>
      </c>
      <c r="B1945" s="18"/>
      <c r="C1945" s="18"/>
      <c r="D1945" s="18"/>
      <c r="E1945" s="18"/>
      <c r="F1945" s="18"/>
      <c r="G1945" s="18"/>
      <c r="H1945" s="18"/>
      <c r="I1945" s="18"/>
      <c r="J1945" s="18"/>
      <c r="K1945" s="18"/>
      <c r="L1945" s="18"/>
      <c r="M1945" s="18"/>
      <c r="N1945" s="18"/>
    </row>
    <row r="1946" spans="1:14">
      <c r="A1946" s="489">
        <v>21631</v>
      </c>
      <c r="B1946" s="18"/>
      <c r="C1946" s="18"/>
      <c r="D1946" s="18"/>
      <c r="E1946" s="18"/>
      <c r="F1946" s="18"/>
      <c r="G1946" s="18"/>
      <c r="H1946" s="18"/>
      <c r="I1946" s="18"/>
      <c r="J1946" s="18"/>
      <c r="K1946" s="18"/>
      <c r="L1946" s="18"/>
      <c r="M1946" s="18"/>
      <c r="N1946" s="18"/>
    </row>
    <row r="1947" spans="1:14">
      <c r="A1947" s="753" t="s">
        <v>733</v>
      </c>
      <c r="B1947" s="18"/>
      <c r="C1947" s="18"/>
      <c r="D1947" s="18"/>
      <c r="E1947" s="18"/>
      <c r="F1947" s="18"/>
      <c r="G1947" s="18"/>
      <c r="H1947" s="18"/>
      <c r="I1947" s="18"/>
      <c r="J1947" s="18"/>
      <c r="K1947" s="18"/>
      <c r="L1947" s="18"/>
      <c r="M1947" s="18"/>
      <c r="N1947" s="18"/>
    </row>
    <row r="1948" spans="1:14">
      <c r="A1948" s="754" t="s">
        <v>898</v>
      </c>
      <c r="B1948" s="18"/>
      <c r="C1948" s="18"/>
      <c r="D1948" s="18"/>
      <c r="E1948" s="18"/>
      <c r="F1948" s="18"/>
      <c r="G1948" s="18"/>
      <c r="H1948" s="18"/>
      <c r="I1948" s="18"/>
      <c r="J1948" s="18"/>
      <c r="K1948" s="18"/>
      <c r="L1948" s="18"/>
      <c r="M1948" s="18"/>
      <c r="N1948" s="18"/>
    </row>
    <row r="1949" spans="1:14">
      <c r="A1949" s="754" t="s">
        <v>901</v>
      </c>
      <c r="B1949" s="18"/>
      <c r="C1949" s="18"/>
      <c r="D1949" s="18"/>
      <c r="E1949" s="18"/>
      <c r="F1949" s="18"/>
      <c r="G1949" s="18"/>
      <c r="H1949" s="18"/>
      <c r="I1949" s="18"/>
      <c r="J1949" s="18">
        <v>0</v>
      </c>
      <c r="K1949" s="18"/>
      <c r="L1949" s="18"/>
      <c r="M1949" s="18"/>
      <c r="N1949" s="18">
        <v>0</v>
      </c>
    </row>
    <row r="1950" spans="1:14">
      <c r="A1950" s="754" t="s">
        <v>903</v>
      </c>
      <c r="B1950" s="18"/>
      <c r="C1950" s="18"/>
      <c r="D1950" s="18"/>
      <c r="E1950" s="18"/>
      <c r="F1950" s="18"/>
      <c r="G1950" s="18"/>
      <c r="H1950" s="18"/>
      <c r="I1950" s="18"/>
      <c r="J1950" s="18"/>
      <c r="K1950" s="18"/>
      <c r="L1950" s="18"/>
      <c r="M1950" s="18"/>
      <c r="N1950" s="18"/>
    </row>
    <row r="1951" spans="1:14">
      <c r="A1951" s="754" t="s">
        <v>905</v>
      </c>
      <c r="B1951" s="18"/>
      <c r="C1951" s="18"/>
      <c r="D1951" s="18"/>
      <c r="E1951" s="18"/>
      <c r="F1951" s="18"/>
      <c r="G1951" s="18"/>
      <c r="H1951" s="18"/>
      <c r="I1951" s="18"/>
      <c r="J1951" s="18">
        <v>21631</v>
      </c>
      <c r="K1951" s="18"/>
      <c r="L1951" s="18"/>
      <c r="M1951" s="18"/>
      <c r="N1951" s="18">
        <v>21631</v>
      </c>
    </row>
    <row r="1952" spans="1:14">
      <c r="A1952" s="754" t="s">
        <v>174</v>
      </c>
      <c r="B1952" s="18"/>
      <c r="C1952" s="18"/>
      <c r="D1952" s="18"/>
      <c r="E1952" s="18"/>
      <c r="F1952" s="18"/>
      <c r="G1952" s="18"/>
      <c r="H1952" s="18"/>
      <c r="I1952" s="18"/>
      <c r="J1952" s="18"/>
      <c r="K1952" s="18"/>
      <c r="L1952" s="18"/>
      <c r="M1952" s="18"/>
      <c r="N1952" s="18"/>
    </row>
    <row r="1953" spans="1:14">
      <c r="A1953" s="489" t="s">
        <v>1953</v>
      </c>
      <c r="B1953" s="18"/>
      <c r="C1953" s="18"/>
      <c r="D1953" s="18"/>
      <c r="E1953" s="18"/>
      <c r="F1953" s="18"/>
      <c r="G1953" s="18"/>
      <c r="H1953" s="18"/>
      <c r="I1953" s="18"/>
      <c r="J1953" s="18"/>
      <c r="K1953" s="18"/>
      <c r="L1953" s="18"/>
      <c r="M1953" s="18"/>
      <c r="N1953" s="18"/>
    </row>
    <row r="1954" spans="1:14">
      <c r="A1954" s="489" t="s">
        <v>1743</v>
      </c>
      <c r="B1954" s="18"/>
      <c r="C1954" s="18"/>
      <c r="D1954" s="18"/>
      <c r="E1954" s="18"/>
      <c r="F1954" s="18"/>
      <c r="G1954" s="18"/>
      <c r="H1954" s="18"/>
      <c r="I1954" s="18"/>
      <c r="J1954" s="18">
        <v>0</v>
      </c>
      <c r="K1954" s="18"/>
      <c r="L1954" s="18"/>
      <c r="M1954" s="18"/>
      <c r="N1954" s="18">
        <v>0</v>
      </c>
    </row>
    <row r="1955" spans="1:14">
      <c r="A1955" s="489" t="s">
        <v>1533</v>
      </c>
      <c r="B1955" s="18"/>
      <c r="C1955" s="18"/>
      <c r="D1955" s="18"/>
      <c r="E1955" s="18"/>
      <c r="F1955" s="18"/>
      <c r="G1955" s="18"/>
      <c r="H1955" s="18"/>
      <c r="I1955" s="18"/>
      <c r="J1955" s="18"/>
      <c r="K1955" s="18"/>
      <c r="L1955" s="18"/>
      <c r="M1955" s="18"/>
      <c r="N1955" s="18"/>
    </row>
    <row r="1956" spans="1:14">
      <c r="A1956" s="489" t="s">
        <v>1323</v>
      </c>
      <c r="B1956" s="18"/>
      <c r="C1956" s="18"/>
      <c r="D1956" s="18"/>
      <c r="E1956" s="18"/>
      <c r="F1956" s="18"/>
      <c r="G1956" s="18"/>
      <c r="H1956" s="18"/>
      <c r="I1956" s="18"/>
      <c r="J1956" s="18">
        <v>21631</v>
      </c>
      <c r="K1956" s="18"/>
      <c r="L1956" s="18"/>
      <c r="M1956" s="18"/>
      <c r="N1956" s="18">
        <v>21631</v>
      </c>
    </row>
    <row r="1957" spans="1:14">
      <c r="A1957" s="489" t="s">
        <v>1113</v>
      </c>
      <c r="B1957" s="18"/>
      <c r="C1957" s="18"/>
      <c r="D1957" s="18"/>
      <c r="E1957" s="18"/>
      <c r="F1957" s="18"/>
      <c r="G1957" s="18"/>
      <c r="H1957" s="18"/>
      <c r="I1957" s="18"/>
      <c r="J1957" s="18"/>
      <c r="K1957" s="18"/>
      <c r="L1957" s="18"/>
      <c r="M1957" s="18"/>
      <c r="N1957" s="18"/>
    </row>
    <row r="1958" spans="1:14">
      <c r="A1958" s="489">
        <v>27272.05</v>
      </c>
      <c r="B1958" s="18"/>
      <c r="C1958" s="18"/>
      <c r="D1958" s="18"/>
      <c r="E1958" s="18"/>
      <c r="F1958" s="18"/>
      <c r="G1958" s="18"/>
      <c r="H1958" s="18"/>
      <c r="I1958" s="18"/>
      <c r="J1958" s="18"/>
      <c r="K1958" s="18"/>
      <c r="L1958" s="18"/>
      <c r="M1958" s="18"/>
      <c r="N1958" s="18"/>
    </row>
    <row r="1959" spans="1:14">
      <c r="A1959" s="753" t="s">
        <v>733</v>
      </c>
      <c r="B1959" s="18"/>
      <c r="C1959" s="18"/>
      <c r="D1959" s="18"/>
      <c r="E1959" s="18"/>
      <c r="F1959" s="18"/>
      <c r="G1959" s="18"/>
      <c r="H1959" s="18"/>
      <c r="I1959" s="18"/>
      <c r="J1959" s="18"/>
      <c r="K1959" s="18"/>
      <c r="L1959" s="18"/>
      <c r="M1959" s="18"/>
      <c r="N1959" s="18"/>
    </row>
    <row r="1960" spans="1:14">
      <c r="A1960" s="754" t="s">
        <v>898</v>
      </c>
      <c r="B1960" s="18"/>
      <c r="C1960" s="18"/>
      <c r="D1960" s="18"/>
      <c r="E1960" s="18"/>
      <c r="F1960" s="18"/>
      <c r="G1960" s="18"/>
      <c r="H1960" s="18"/>
      <c r="I1960" s="18"/>
      <c r="J1960" s="18"/>
      <c r="K1960" s="18"/>
      <c r="L1960" s="18"/>
      <c r="M1960" s="18"/>
      <c r="N1960" s="18"/>
    </row>
    <row r="1961" spans="1:14">
      <c r="A1961" s="754" t="s">
        <v>901</v>
      </c>
      <c r="B1961" s="18"/>
      <c r="C1961" s="18"/>
      <c r="D1961" s="18"/>
      <c r="E1961" s="18"/>
      <c r="F1961" s="18"/>
      <c r="G1961" s="18"/>
      <c r="H1961" s="18"/>
      <c r="I1961" s="18"/>
      <c r="J1961" s="18">
        <v>0</v>
      </c>
      <c r="K1961" s="18"/>
      <c r="L1961" s="18"/>
      <c r="M1961" s="18"/>
      <c r="N1961" s="18">
        <v>0</v>
      </c>
    </row>
    <row r="1962" spans="1:14">
      <c r="A1962" s="754" t="s">
        <v>903</v>
      </c>
      <c r="B1962" s="18"/>
      <c r="C1962" s="18"/>
      <c r="D1962" s="18"/>
      <c r="E1962" s="18"/>
      <c r="F1962" s="18"/>
      <c r="G1962" s="18"/>
      <c r="H1962" s="18"/>
      <c r="I1962" s="18"/>
      <c r="J1962" s="18"/>
      <c r="K1962" s="18"/>
      <c r="L1962" s="18"/>
      <c r="M1962" s="18"/>
      <c r="N1962" s="18"/>
    </row>
    <row r="1963" spans="1:14">
      <c r="A1963" s="754" t="s">
        <v>905</v>
      </c>
      <c r="B1963" s="18"/>
      <c r="C1963" s="18"/>
      <c r="D1963" s="18"/>
      <c r="E1963" s="18"/>
      <c r="F1963" s="18"/>
      <c r="G1963" s="18"/>
      <c r="H1963" s="18"/>
      <c r="I1963" s="18"/>
      <c r="J1963" s="18">
        <v>27272.05</v>
      </c>
      <c r="K1963" s="18"/>
      <c r="L1963" s="18"/>
      <c r="M1963" s="18"/>
      <c r="N1963" s="18">
        <v>27272.05</v>
      </c>
    </row>
    <row r="1964" spans="1:14">
      <c r="A1964" s="754" t="s">
        <v>174</v>
      </c>
      <c r="B1964" s="18"/>
      <c r="C1964" s="18"/>
      <c r="D1964" s="18"/>
      <c r="E1964" s="18"/>
      <c r="F1964" s="18"/>
      <c r="G1964" s="18"/>
      <c r="H1964" s="18"/>
      <c r="I1964" s="18"/>
      <c r="J1964" s="18"/>
      <c r="K1964" s="18"/>
      <c r="L1964" s="18"/>
      <c r="M1964" s="18"/>
      <c r="N1964" s="18"/>
    </row>
    <row r="1965" spans="1:14">
      <c r="A1965" s="489" t="s">
        <v>1954</v>
      </c>
      <c r="B1965" s="18"/>
      <c r="C1965" s="18"/>
      <c r="D1965" s="18"/>
      <c r="E1965" s="18"/>
      <c r="F1965" s="18"/>
      <c r="G1965" s="18"/>
      <c r="H1965" s="18"/>
      <c r="I1965" s="18"/>
      <c r="J1965" s="18"/>
      <c r="K1965" s="18"/>
      <c r="L1965" s="18"/>
      <c r="M1965" s="18"/>
      <c r="N1965" s="18"/>
    </row>
    <row r="1966" spans="1:14">
      <c r="A1966" s="489" t="s">
        <v>1744</v>
      </c>
      <c r="B1966" s="18"/>
      <c r="C1966" s="18"/>
      <c r="D1966" s="18"/>
      <c r="E1966" s="18"/>
      <c r="F1966" s="18"/>
      <c r="G1966" s="18"/>
      <c r="H1966" s="18"/>
      <c r="I1966" s="18"/>
      <c r="J1966" s="18">
        <v>0</v>
      </c>
      <c r="K1966" s="18"/>
      <c r="L1966" s="18"/>
      <c r="M1966" s="18"/>
      <c r="N1966" s="18">
        <v>0</v>
      </c>
    </row>
    <row r="1967" spans="1:14">
      <c r="A1967" s="489" t="s">
        <v>1534</v>
      </c>
      <c r="B1967" s="18"/>
      <c r="C1967" s="18"/>
      <c r="D1967" s="18"/>
      <c r="E1967" s="18"/>
      <c r="F1967" s="18"/>
      <c r="G1967" s="18"/>
      <c r="H1967" s="18"/>
      <c r="I1967" s="18"/>
      <c r="J1967" s="18"/>
      <c r="K1967" s="18"/>
      <c r="L1967" s="18"/>
      <c r="M1967" s="18"/>
      <c r="N1967" s="18"/>
    </row>
    <row r="1968" spans="1:14">
      <c r="A1968" s="489" t="s">
        <v>1324</v>
      </c>
      <c r="B1968" s="18"/>
      <c r="C1968" s="18"/>
      <c r="D1968" s="18"/>
      <c r="E1968" s="18"/>
      <c r="F1968" s="18"/>
      <c r="G1968" s="18"/>
      <c r="H1968" s="18"/>
      <c r="I1968" s="18"/>
      <c r="J1968" s="18">
        <v>27272.05</v>
      </c>
      <c r="K1968" s="18"/>
      <c r="L1968" s="18"/>
      <c r="M1968" s="18"/>
      <c r="N1968" s="18">
        <v>27272.05</v>
      </c>
    </row>
    <row r="1969" spans="1:14">
      <c r="A1969" s="489" t="s">
        <v>1114</v>
      </c>
      <c r="B1969" s="18"/>
      <c r="C1969" s="18"/>
      <c r="D1969" s="18"/>
      <c r="E1969" s="18"/>
      <c r="F1969" s="18"/>
      <c r="G1969" s="18"/>
      <c r="H1969" s="18"/>
      <c r="I1969" s="18"/>
      <c r="J1969" s="18"/>
      <c r="K1969" s="18"/>
      <c r="L1969" s="18"/>
      <c r="M1969" s="18"/>
      <c r="N1969" s="18"/>
    </row>
    <row r="1970" spans="1:14">
      <c r="A1970" s="489" t="s">
        <v>733</v>
      </c>
      <c r="B1970" s="18"/>
      <c r="C1970" s="18"/>
      <c r="D1970" s="18"/>
      <c r="E1970" s="18"/>
      <c r="F1970" s="18"/>
      <c r="G1970" s="18"/>
      <c r="H1970" s="18"/>
      <c r="I1970" s="18"/>
      <c r="J1970" s="18"/>
      <c r="K1970" s="18"/>
      <c r="L1970" s="18"/>
      <c r="M1970" s="18"/>
      <c r="N1970" s="18"/>
    </row>
    <row r="1971" spans="1:14">
      <c r="A1971" s="753" t="s">
        <v>733</v>
      </c>
      <c r="B1971" s="18"/>
      <c r="C1971" s="18"/>
      <c r="D1971" s="18"/>
      <c r="E1971" s="18"/>
      <c r="F1971" s="18"/>
      <c r="G1971" s="18"/>
      <c r="H1971" s="18"/>
      <c r="I1971" s="18"/>
      <c r="J1971" s="18"/>
      <c r="K1971" s="18"/>
      <c r="L1971" s="18"/>
      <c r="M1971" s="18"/>
      <c r="N1971" s="18"/>
    </row>
    <row r="1972" spans="1:14">
      <c r="A1972" s="754" t="s">
        <v>898</v>
      </c>
      <c r="B1972" s="18"/>
      <c r="C1972" s="18"/>
      <c r="D1972" s="18"/>
      <c r="E1972" s="18"/>
      <c r="F1972" s="18"/>
      <c r="G1972" s="18"/>
      <c r="H1972" s="18"/>
      <c r="I1972" s="18"/>
      <c r="J1972" s="18"/>
      <c r="K1972" s="18"/>
      <c r="L1972" s="18"/>
      <c r="M1972" s="18"/>
      <c r="N1972" s="18"/>
    </row>
    <row r="1973" spans="1:14">
      <c r="A1973" s="754" t="s">
        <v>901</v>
      </c>
      <c r="B1973" s="18"/>
      <c r="C1973" s="18"/>
      <c r="D1973" s="18"/>
      <c r="E1973" s="18"/>
      <c r="F1973" s="18"/>
      <c r="G1973" s="18"/>
      <c r="H1973" s="18"/>
      <c r="I1973" s="18"/>
      <c r="J1973" s="18">
        <v>0</v>
      </c>
      <c r="K1973" s="18">
        <v>0</v>
      </c>
      <c r="L1973" s="18">
        <v>0</v>
      </c>
      <c r="M1973" s="18">
        <v>0</v>
      </c>
      <c r="N1973" s="18">
        <v>0</v>
      </c>
    </row>
    <row r="1974" spans="1:14">
      <c r="A1974" s="754" t="s">
        <v>903</v>
      </c>
      <c r="B1974" s="18"/>
      <c r="C1974" s="18"/>
      <c r="D1974" s="18"/>
      <c r="E1974" s="18"/>
      <c r="F1974" s="18"/>
      <c r="G1974" s="18"/>
      <c r="H1974" s="18"/>
      <c r="I1974" s="18"/>
      <c r="J1974" s="18"/>
      <c r="K1974" s="18"/>
      <c r="L1974" s="18"/>
      <c r="M1974" s="18"/>
      <c r="N1974" s="18"/>
    </row>
    <row r="1975" spans="1:14">
      <c r="A1975" s="754" t="s">
        <v>905</v>
      </c>
      <c r="B1975" s="18"/>
      <c r="C1975" s="18"/>
      <c r="D1975" s="18"/>
      <c r="E1975" s="18"/>
      <c r="F1975" s="18"/>
      <c r="G1975" s="18"/>
      <c r="H1975" s="18"/>
      <c r="I1975" s="18"/>
      <c r="J1975" s="18"/>
      <c r="K1975" s="18"/>
      <c r="L1975" s="18"/>
      <c r="M1975" s="18"/>
      <c r="N1975" s="18"/>
    </row>
    <row r="1976" spans="1:14">
      <c r="A1976" s="754" t="s">
        <v>174</v>
      </c>
      <c r="B1976" s="18"/>
      <c r="C1976" s="18"/>
      <c r="D1976" s="18"/>
      <c r="E1976" s="18"/>
      <c r="F1976" s="18"/>
      <c r="G1976" s="18"/>
      <c r="H1976" s="18"/>
      <c r="I1976" s="18"/>
      <c r="J1976" s="18"/>
      <c r="K1976" s="18"/>
      <c r="L1976" s="18"/>
      <c r="M1976" s="18"/>
      <c r="N1976" s="18"/>
    </row>
    <row r="1977" spans="1:14">
      <c r="A1977" s="489" t="s">
        <v>1750</v>
      </c>
      <c r="B1977" s="18"/>
      <c r="C1977" s="18"/>
      <c r="D1977" s="18"/>
      <c r="E1977" s="18"/>
      <c r="F1977" s="18"/>
      <c r="G1977" s="18"/>
      <c r="H1977" s="18"/>
      <c r="I1977" s="18"/>
      <c r="J1977" s="18"/>
      <c r="K1977" s="18"/>
      <c r="L1977" s="18"/>
      <c r="M1977" s="18"/>
      <c r="N1977" s="18"/>
    </row>
    <row r="1978" spans="1:14">
      <c r="A1978" s="489" t="s">
        <v>1540</v>
      </c>
      <c r="B1978" s="18"/>
      <c r="C1978" s="18"/>
      <c r="D1978" s="18"/>
      <c r="E1978" s="18"/>
      <c r="F1978" s="18"/>
      <c r="G1978" s="18"/>
      <c r="H1978" s="18"/>
      <c r="I1978" s="18"/>
      <c r="J1978" s="18">
        <v>0</v>
      </c>
      <c r="K1978" s="18">
        <v>0</v>
      </c>
      <c r="L1978" s="18">
        <v>0</v>
      </c>
      <c r="M1978" s="18">
        <v>0</v>
      </c>
      <c r="N1978" s="18">
        <v>0</v>
      </c>
    </row>
    <row r="1979" spans="1:14">
      <c r="A1979" s="489" t="s">
        <v>1330</v>
      </c>
      <c r="B1979" s="18"/>
      <c r="C1979" s="18"/>
      <c r="D1979" s="18"/>
      <c r="E1979" s="18"/>
      <c r="F1979" s="18"/>
      <c r="G1979" s="18"/>
      <c r="H1979" s="18"/>
      <c r="I1979" s="18"/>
      <c r="J1979" s="18"/>
      <c r="K1979" s="18"/>
      <c r="L1979" s="18"/>
      <c r="M1979" s="18"/>
      <c r="N1979" s="18"/>
    </row>
    <row r="1980" spans="1:14">
      <c r="A1980" s="489" t="s">
        <v>1120</v>
      </c>
      <c r="B1980" s="18"/>
      <c r="C1980" s="18"/>
      <c r="D1980" s="18"/>
      <c r="E1980" s="18"/>
      <c r="F1980" s="18"/>
      <c r="G1980" s="18"/>
      <c r="H1980" s="18"/>
      <c r="I1980" s="18"/>
      <c r="J1980" s="18"/>
      <c r="K1980" s="18"/>
      <c r="L1980" s="18"/>
      <c r="M1980" s="18"/>
      <c r="N1980" s="18"/>
    </row>
    <row r="1981" spans="1:14">
      <c r="A1981" s="489" t="s">
        <v>910</v>
      </c>
      <c r="B1981" s="18"/>
      <c r="C1981" s="18"/>
      <c r="D1981" s="18"/>
      <c r="E1981" s="18"/>
      <c r="F1981" s="18"/>
      <c r="G1981" s="18"/>
      <c r="H1981" s="18"/>
      <c r="I1981" s="18"/>
      <c r="J1981" s="18"/>
      <c r="K1981" s="18"/>
      <c r="L1981" s="18"/>
      <c r="M1981" s="18"/>
      <c r="N1981" s="18"/>
    </row>
    <row r="1982" spans="1:14">
      <c r="A1982" s="347" t="s">
        <v>1755</v>
      </c>
      <c r="B1982" s="18"/>
      <c r="C1982" s="18"/>
      <c r="D1982" s="18"/>
      <c r="E1982" s="18"/>
      <c r="F1982" s="18"/>
      <c r="G1982" s="18"/>
      <c r="H1982" s="18"/>
      <c r="I1982" s="18"/>
      <c r="J1982" s="18"/>
      <c r="K1982" s="18"/>
      <c r="L1982" s="18"/>
      <c r="M1982" s="18"/>
      <c r="N1982" s="18"/>
    </row>
    <row r="1983" spans="1:14">
      <c r="A1983" s="347" t="s">
        <v>1545</v>
      </c>
      <c r="B1983" s="18"/>
      <c r="C1983" s="18"/>
      <c r="D1983" s="18"/>
      <c r="E1983" s="18"/>
      <c r="F1983" s="18"/>
      <c r="G1983" s="18"/>
      <c r="H1983" s="18"/>
      <c r="I1983" s="18"/>
      <c r="J1983" s="18">
        <v>0</v>
      </c>
      <c r="K1983" s="18">
        <v>0</v>
      </c>
      <c r="L1983" s="18">
        <v>0</v>
      </c>
      <c r="M1983" s="18">
        <v>0</v>
      </c>
      <c r="N1983" s="18">
        <v>0</v>
      </c>
    </row>
    <row r="1984" spans="1:14">
      <c r="A1984" s="347" t="s">
        <v>1335</v>
      </c>
      <c r="B1984" s="18"/>
      <c r="C1984" s="18"/>
      <c r="D1984" s="18"/>
      <c r="E1984" s="18"/>
      <c r="F1984" s="18"/>
      <c r="G1984" s="18"/>
      <c r="H1984" s="18"/>
      <c r="I1984" s="18"/>
      <c r="J1984" s="18"/>
      <c r="K1984" s="18"/>
      <c r="L1984" s="18"/>
      <c r="M1984" s="18"/>
      <c r="N1984" s="18"/>
    </row>
    <row r="1985" spans="1:14">
      <c r="A1985" s="347" t="s">
        <v>1125</v>
      </c>
      <c r="B1985" s="18"/>
      <c r="C1985" s="18"/>
      <c r="D1985" s="18"/>
      <c r="E1985" s="18"/>
      <c r="F1985" s="18"/>
      <c r="G1985" s="18"/>
      <c r="H1985" s="18"/>
      <c r="I1985" s="18"/>
      <c r="J1985" s="18">
        <v>48903.05</v>
      </c>
      <c r="K1985" s="18"/>
      <c r="L1985" s="18"/>
      <c r="M1985" s="18"/>
      <c r="N1985" s="18">
        <v>48903.05</v>
      </c>
    </row>
    <row r="1986" spans="1:14">
      <c r="A1986" s="347" t="s">
        <v>915</v>
      </c>
      <c r="B1986" s="18"/>
      <c r="C1986" s="18"/>
      <c r="D1986" s="18"/>
      <c r="E1986" s="18"/>
      <c r="F1986" s="18"/>
      <c r="G1986" s="18"/>
      <c r="H1986" s="18"/>
      <c r="I1986" s="18"/>
      <c r="J1986" s="18"/>
      <c r="K1986" s="18"/>
      <c r="L1986" s="18"/>
      <c r="M1986" s="18"/>
      <c r="N1986" s="18"/>
    </row>
    <row r="1987" spans="1:14">
      <c r="A1987" s="347">
        <v>3563771</v>
      </c>
      <c r="B1987" s="18"/>
      <c r="C1987" s="18"/>
      <c r="D1987" s="18"/>
      <c r="E1987" s="18"/>
      <c r="F1987" s="18"/>
      <c r="G1987" s="18"/>
      <c r="H1987" s="18"/>
      <c r="I1987" s="18"/>
      <c r="J1987" s="18"/>
      <c r="K1987" s="18"/>
      <c r="L1987" s="18"/>
      <c r="M1987" s="18"/>
      <c r="N1987" s="18"/>
    </row>
    <row r="1988" spans="1:14">
      <c r="A1988" s="489" t="s">
        <v>733</v>
      </c>
      <c r="B1988" s="18"/>
      <c r="C1988" s="18"/>
      <c r="D1988" s="18"/>
      <c r="E1988" s="18"/>
      <c r="F1988" s="18"/>
      <c r="G1988" s="18"/>
      <c r="H1988" s="18"/>
      <c r="I1988" s="18"/>
      <c r="J1988" s="18"/>
      <c r="K1988" s="18"/>
      <c r="L1988" s="18"/>
      <c r="M1988" s="18"/>
      <c r="N1988" s="18"/>
    </row>
    <row r="1989" spans="1:14">
      <c r="A1989" s="753" t="s">
        <v>733</v>
      </c>
      <c r="B1989" s="18"/>
      <c r="C1989" s="18"/>
      <c r="D1989" s="18"/>
      <c r="E1989" s="18"/>
      <c r="F1989" s="18"/>
      <c r="G1989" s="18"/>
      <c r="H1989" s="18"/>
      <c r="I1989" s="18"/>
      <c r="J1989" s="18"/>
      <c r="K1989" s="18"/>
      <c r="L1989" s="18"/>
      <c r="M1989" s="18"/>
      <c r="N1989" s="18"/>
    </row>
    <row r="1990" spans="1:14">
      <c r="A1990" s="754" t="s">
        <v>898</v>
      </c>
      <c r="B1990" s="18"/>
      <c r="C1990" s="18"/>
      <c r="D1990" s="18"/>
      <c r="E1990" s="18"/>
      <c r="F1990" s="18"/>
      <c r="G1990" s="18"/>
      <c r="H1990" s="18"/>
      <c r="I1990" s="18"/>
      <c r="J1990" s="18"/>
      <c r="K1990" s="18"/>
      <c r="L1990" s="18"/>
      <c r="M1990" s="18"/>
      <c r="N1990" s="18"/>
    </row>
    <row r="1991" spans="1:14">
      <c r="A1991" s="754" t="s">
        <v>901</v>
      </c>
      <c r="B1991" s="18"/>
      <c r="C1991" s="18"/>
      <c r="D1991" s="18"/>
      <c r="E1991" s="18"/>
      <c r="F1991" s="18"/>
      <c r="G1991" s="18"/>
      <c r="H1991" s="18"/>
      <c r="I1991" s="18"/>
      <c r="J1991" s="18">
        <v>3563771</v>
      </c>
      <c r="K1991" s="18"/>
      <c r="L1991" s="18"/>
      <c r="M1991" s="18"/>
      <c r="N1991" s="18">
        <v>3563771</v>
      </c>
    </row>
    <row r="1992" spans="1:14">
      <c r="A1992" s="754" t="s">
        <v>903</v>
      </c>
      <c r="B1992" s="18"/>
      <c r="C1992" s="18"/>
      <c r="D1992" s="18"/>
      <c r="E1992" s="18"/>
      <c r="F1992" s="18"/>
      <c r="G1992" s="18"/>
      <c r="H1992" s="18"/>
      <c r="I1992" s="18"/>
      <c r="J1992" s="18"/>
      <c r="K1992" s="18"/>
      <c r="L1992" s="18"/>
      <c r="M1992" s="18"/>
      <c r="N1992" s="18"/>
    </row>
    <row r="1993" spans="1:14">
      <c r="A1993" s="754" t="s">
        <v>905</v>
      </c>
      <c r="B1993" s="18"/>
      <c r="C1993" s="18"/>
      <c r="D1993" s="18"/>
      <c r="E1993" s="18"/>
      <c r="F1993" s="18"/>
      <c r="G1993" s="18"/>
      <c r="H1993" s="18"/>
      <c r="I1993" s="18"/>
      <c r="J1993" s="18"/>
      <c r="K1993" s="18"/>
      <c r="L1993" s="18"/>
      <c r="M1993" s="18"/>
      <c r="N1993" s="18"/>
    </row>
    <row r="1994" spans="1:14">
      <c r="A1994" s="754" t="s">
        <v>174</v>
      </c>
      <c r="B1994" s="18"/>
      <c r="C1994" s="18"/>
      <c r="D1994" s="18"/>
      <c r="E1994" s="18"/>
      <c r="F1994" s="18"/>
      <c r="G1994" s="18"/>
      <c r="H1994" s="18"/>
      <c r="I1994" s="18"/>
      <c r="J1994" s="18"/>
      <c r="K1994" s="18"/>
      <c r="L1994" s="18"/>
      <c r="M1994" s="18"/>
      <c r="N1994" s="18"/>
    </row>
    <row r="1995" spans="1:14">
      <c r="A1995" s="489" t="s">
        <v>1750</v>
      </c>
      <c r="B1995" s="18"/>
      <c r="C1995" s="18"/>
      <c r="D1995" s="18"/>
      <c r="E1995" s="18"/>
      <c r="F1995" s="18"/>
      <c r="G1995" s="18"/>
      <c r="H1995" s="18"/>
      <c r="I1995" s="18"/>
      <c r="J1995" s="18"/>
      <c r="K1995" s="18"/>
      <c r="L1995" s="18"/>
      <c r="M1995" s="18"/>
      <c r="N1995" s="18"/>
    </row>
    <row r="1996" spans="1:14">
      <c r="A1996" s="489" t="s">
        <v>1540</v>
      </c>
      <c r="B1996" s="18"/>
      <c r="C1996" s="18"/>
      <c r="D1996" s="18"/>
      <c r="E1996" s="18"/>
      <c r="F1996" s="18"/>
      <c r="G1996" s="18"/>
      <c r="H1996" s="18"/>
      <c r="I1996" s="18"/>
      <c r="J1996" s="18">
        <v>3563771</v>
      </c>
      <c r="K1996" s="18"/>
      <c r="L1996" s="18"/>
      <c r="M1996" s="18"/>
      <c r="N1996" s="18">
        <v>3563771</v>
      </c>
    </row>
    <row r="1997" spans="1:14">
      <c r="A1997" s="489" t="s">
        <v>1330</v>
      </c>
      <c r="B1997" s="18"/>
      <c r="C1997" s="18"/>
      <c r="D1997" s="18"/>
      <c r="E1997" s="18"/>
      <c r="F1997" s="18"/>
      <c r="G1997" s="18"/>
      <c r="H1997" s="18"/>
      <c r="I1997" s="18"/>
      <c r="J1997" s="18"/>
      <c r="K1997" s="18"/>
      <c r="L1997" s="18"/>
      <c r="M1997" s="18"/>
      <c r="N1997" s="18"/>
    </row>
    <row r="1998" spans="1:14">
      <c r="A1998" s="489" t="s">
        <v>1120</v>
      </c>
      <c r="B1998" s="18"/>
      <c r="C1998" s="18"/>
      <c r="D1998" s="18"/>
      <c r="E1998" s="18"/>
      <c r="F1998" s="18"/>
      <c r="G1998" s="18"/>
      <c r="H1998" s="18"/>
      <c r="I1998" s="18"/>
      <c r="J1998" s="18"/>
      <c r="K1998" s="18"/>
      <c r="L1998" s="18"/>
      <c r="M1998" s="18"/>
      <c r="N1998" s="18"/>
    </row>
    <row r="1999" spans="1:14">
      <c r="A1999" s="489" t="s">
        <v>910</v>
      </c>
      <c r="B1999" s="18"/>
      <c r="C1999" s="18"/>
      <c r="D1999" s="18"/>
      <c r="E1999" s="18"/>
      <c r="F1999" s="18"/>
      <c r="G1999" s="18"/>
      <c r="H1999" s="18"/>
      <c r="I1999" s="18"/>
      <c r="J1999" s="18"/>
      <c r="K1999" s="18"/>
      <c r="L1999" s="18"/>
      <c r="M1999" s="18"/>
      <c r="N1999" s="18"/>
    </row>
    <row r="2000" spans="1:14">
      <c r="A2000" s="347" t="s">
        <v>1955</v>
      </c>
      <c r="B2000" s="18"/>
      <c r="C2000" s="18"/>
      <c r="D2000" s="18"/>
      <c r="E2000" s="18"/>
      <c r="F2000" s="18"/>
      <c r="G2000" s="18"/>
      <c r="H2000" s="18"/>
      <c r="I2000" s="18"/>
      <c r="J2000" s="18"/>
      <c r="K2000" s="18"/>
      <c r="L2000" s="18"/>
      <c r="M2000" s="18"/>
      <c r="N2000" s="18"/>
    </row>
    <row r="2001" spans="1:14">
      <c r="A2001" s="347" t="s">
        <v>1745</v>
      </c>
      <c r="B2001" s="18"/>
      <c r="C2001" s="18"/>
      <c r="D2001" s="18"/>
      <c r="E2001" s="18"/>
      <c r="F2001" s="18"/>
      <c r="G2001" s="18"/>
      <c r="H2001" s="18"/>
      <c r="I2001" s="18"/>
      <c r="J2001" s="18">
        <v>3563771</v>
      </c>
      <c r="K2001" s="18"/>
      <c r="L2001" s="18"/>
      <c r="M2001" s="18"/>
      <c r="N2001" s="18">
        <v>3563771</v>
      </c>
    </row>
    <row r="2002" spans="1:14">
      <c r="A2002" s="347" t="s">
        <v>1535</v>
      </c>
      <c r="B2002" s="18"/>
      <c r="C2002" s="18"/>
      <c r="D2002" s="18"/>
      <c r="E2002" s="18"/>
      <c r="F2002" s="18"/>
      <c r="G2002" s="18"/>
      <c r="H2002" s="18"/>
      <c r="I2002" s="18"/>
      <c r="J2002" s="18"/>
      <c r="K2002" s="18"/>
      <c r="L2002" s="18"/>
      <c r="M2002" s="18"/>
      <c r="N2002" s="18"/>
    </row>
    <row r="2003" spans="1:14">
      <c r="A2003" s="347" t="s">
        <v>1325</v>
      </c>
      <c r="B2003" s="18"/>
      <c r="C2003" s="18"/>
      <c r="D2003" s="18"/>
      <c r="E2003" s="18"/>
      <c r="F2003" s="18"/>
      <c r="G2003" s="18"/>
      <c r="H2003" s="18"/>
      <c r="I2003" s="18"/>
      <c r="J2003" s="18"/>
      <c r="K2003" s="18"/>
      <c r="L2003" s="18"/>
      <c r="M2003" s="18"/>
      <c r="N2003" s="18"/>
    </row>
    <row r="2004" spans="1:14">
      <c r="A2004" s="347" t="s">
        <v>1115</v>
      </c>
      <c r="B2004" s="18"/>
      <c r="C2004" s="18"/>
      <c r="D2004" s="18"/>
      <c r="E2004" s="18"/>
      <c r="F2004" s="18"/>
      <c r="G2004" s="18"/>
      <c r="H2004" s="18"/>
      <c r="I2004" s="18"/>
      <c r="J2004" s="18"/>
      <c r="K2004" s="18"/>
      <c r="L2004" s="18"/>
      <c r="M2004" s="18"/>
      <c r="N2004" s="18"/>
    </row>
    <row r="2005" spans="1:14">
      <c r="A2005" s="347">
        <v>3651857</v>
      </c>
      <c r="B2005" s="18"/>
      <c r="C2005" s="18"/>
      <c r="D2005" s="18"/>
      <c r="E2005" s="18"/>
      <c r="F2005" s="18"/>
      <c r="G2005" s="18"/>
      <c r="H2005" s="18"/>
      <c r="I2005" s="18"/>
      <c r="J2005" s="18"/>
      <c r="K2005" s="18"/>
      <c r="L2005" s="18"/>
      <c r="M2005" s="18"/>
      <c r="N2005" s="18"/>
    </row>
    <row r="2006" spans="1:14">
      <c r="A2006" s="489" t="s">
        <v>733</v>
      </c>
      <c r="B2006" s="18"/>
      <c r="C2006" s="18"/>
      <c r="D2006" s="18"/>
      <c r="E2006" s="18"/>
      <c r="F2006" s="18"/>
      <c r="G2006" s="18"/>
      <c r="H2006" s="18"/>
      <c r="I2006" s="18"/>
      <c r="J2006" s="18"/>
      <c r="K2006" s="18"/>
      <c r="L2006" s="18"/>
      <c r="M2006" s="18"/>
      <c r="N2006" s="18"/>
    </row>
    <row r="2007" spans="1:14">
      <c r="A2007" s="753" t="s">
        <v>733</v>
      </c>
      <c r="B2007" s="18"/>
      <c r="C2007" s="18"/>
      <c r="D2007" s="18"/>
      <c r="E2007" s="18"/>
      <c r="F2007" s="18"/>
      <c r="G2007" s="18"/>
      <c r="H2007" s="18"/>
      <c r="I2007" s="18"/>
      <c r="J2007" s="18"/>
      <c r="K2007" s="18"/>
      <c r="L2007" s="18"/>
      <c r="M2007" s="18"/>
      <c r="N2007" s="18"/>
    </row>
    <row r="2008" spans="1:14">
      <c r="A2008" s="754" t="s">
        <v>898</v>
      </c>
      <c r="B2008" s="18"/>
      <c r="C2008" s="18"/>
      <c r="D2008" s="18"/>
      <c r="E2008" s="18"/>
      <c r="F2008" s="18"/>
      <c r="G2008" s="18"/>
      <c r="H2008" s="18"/>
      <c r="I2008" s="18"/>
      <c r="J2008" s="18"/>
      <c r="K2008" s="18"/>
      <c r="L2008" s="18"/>
      <c r="M2008" s="18"/>
      <c r="N2008" s="18"/>
    </row>
    <row r="2009" spans="1:14">
      <c r="A2009" s="754" t="s">
        <v>901</v>
      </c>
      <c r="B2009" s="18"/>
      <c r="C2009" s="18"/>
      <c r="D2009" s="18"/>
      <c r="E2009" s="18"/>
      <c r="F2009" s="18"/>
      <c r="G2009" s="18"/>
      <c r="H2009" s="18"/>
      <c r="I2009" s="18"/>
      <c r="J2009" s="18">
        <v>3651857</v>
      </c>
      <c r="K2009" s="18"/>
      <c r="L2009" s="18"/>
      <c r="M2009" s="18"/>
      <c r="N2009" s="18">
        <v>3651857</v>
      </c>
    </row>
    <row r="2010" spans="1:14">
      <c r="A2010" s="754" t="s">
        <v>903</v>
      </c>
      <c r="B2010" s="18"/>
      <c r="C2010" s="18"/>
      <c r="D2010" s="18"/>
      <c r="E2010" s="18"/>
      <c r="F2010" s="18"/>
      <c r="G2010" s="18"/>
      <c r="H2010" s="18"/>
      <c r="I2010" s="18"/>
      <c r="J2010" s="18"/>
      <c r="K2010" s="18"/>
      <c r="L2010" s="18"/>
      <c r="M2010" s="18"/>
      <c r="N2010" s="18"/>
    </row>
    <row r="2011" spans="1:14">
      <c r="A2011" s="754" t="s">
        <v>905</v>
      </c>
      <c r="B2011" s="18"/>
      <c r="C2011" s="18"/>
      <c r="D2011" s="18"/>
      <c r="E2011" s="18"/>
      <c r="F2011" s="18"/>
      <c r="G2011" s="18"/>
      <c r="H2011" s="18"/>
      <c r="I2011" s="18"/>
      <c r="J2011" s="18"/>
      <c r="K2011" s="18"/>
      <c r="L2011" s="18"/>
      <c r="M2011" s="18"/>
      <c r="N2011" s="18"/>
    </row>
    <row r="2012" spans="1:14">
      <c r="A2012" s="754" t="s">
        <v>174</v>
      </c>
      <c r="B2012" s="18"/>
      <c r="C2012" s="18"/>
      <c r="D2012" s="18"/>
      <c r="E2012" s="18"/>
      <c r="F2012" s="18"/>
      <c r="G2012" s="18"/>
      <c r="H2012" s="18"/>
      <c r="I2012" s="18"/>
      <c r="J2012" s="18"/>
      <c r="K2012" s="18"/>
      <c r="L2012" s="18"/>
      <c r="M2012" s="18"/>
      <c r="N2012" s="18"/>
    </row>
    <row r="2013" spans="1:14">
      <c r="A2013" s="489" t="s">
        <v>1750</v>
      </c>
      <c r="B2013" s="18"/>
      <c r="C2013" s="18"/>
      <c r="D2013" s="18"/>
      <c r="E2013" s="18"/>
      <c r="F2013" s="18"/>
      <c r="G2013" s="18"/>
      <c r="H2013" s="18"/>
      <c r="I2013" s="18"/>
      <c r="J2013" s="18"/>
      <c r="K2013" s="18"/>
      <c r="L2013" s="18"/>
      <c r="M2013" s="18"/>
      <c r="N2013" s="18"/>
    </row>
    <row r="2014" spans="1:14">
      <c r="A2014" s="489" t="s">
        <v>1540</v>
      </c>
      <c r="B2014" s="18"/>
      <c r="C2014" s="18"/>
      <c r="D2014" s="18"/>
      <c r="E2014" s="18"/>
      <c r="F2014" s="18"/>
      <c r="G2014" s="18"/>
      <c r="H2014" s="18"/>
      <c r="I2014" s="18"/>
      <c r="J2014" s="18">
        <v>3651857</v>
      </c>
      <c r="K2014" s="18"/>
      <c r="L2014" s="18"/>
      <c r="M2014" s="18"/>
      <c r="N2014" s="18">
        <v>3651857</v>
      </c>
    </row>
    <row r="2015" spans="1:14">
      <c r="A2015" s="489" t="s">
        <v>1330</v>
      </c>
      <c r="B2015" s="18"/>
      <c r="C2015" s="18"/>
      <c r="D2015" s="18"/>
      <c r="E2015" s="18"/>
      <c r="F2015" s="18"/>
      <c r="G2015" s="18"/>
      <c r="H2015" s="18"/>
      <c r="I2015" s="18"/>
      <c r="J2015" s="18"/>
      <c r="K2015" s="18"/>
      <c r="L2015" s="18"/>
      <c r="M2015" s="18"/>
      <c r="N2015" s="18"/>
    </row>
    <row r="2016" spans="1:14">
      <c r="A2016" s="489" t="s">
        <v>1120</v>
      </c>
      <c r="B2016" s="18"/>
      <c r="C2016" s="18"/>
      <c r="D2016" s="18"/>
      <c r="E2016" s="18"/>
      <c r="F2016" s="18"/>
      <c r="G2016" s="18"/>
      <c r="H2016" s="18"/>
      <c r="I2016" s="18"/>
      <c r="J2016" s="18"/>
      <c r="K2016" s="18"/>
      <c r="L2016" s="18"/>
      <c r="M2016" s="18"/>
      <c r="N2016" s="18"/>
    </row>
    <row r="2017" spans="1:14">
      <c r="A2017" s="489" t="s">
        <v>910</v>
      </c>
      <c r="B2017" s="18"/>
      <c r="C2017" s="18"/>
      <c r="D2017" s="18"/>
      <c r="E2017" s="18"/>
      <c r="F2017" s="18"/>
      <c r="G2017" s="18"/>
      <c r="H2017" s="18"/>
      <c r="I2017" s="18"/>
      <c r="J2017" s="18"/>
      <c r="K2017" s="18"/>
      <c r="L2017" s="18"/>
      <c r="M2017" s="18"/>
      <c r="N2017" s="18"/>
    </row>
    <row r="2018" spans="1:14">
      <c r="A2018" s="347" t="s">
        <v>1956</v>
      </c>
      <c r="B2018" s="18"/>
      <c r="C2018" s="18"/>
      <c r="D2018" s="18"/>
      <c r="E2018" s="18"/>
      <c r="F2018" s="18"/>
      <c r="G2018" s="18"/>
      <c r="H2018" s="18"/>
      <c r="I2018" s="18"/>
      <c r="J2018" s="18"/>
      <c r="K2018" s="18"/>
      <c r="L2018" s="18"/>
      <c r="M2018" s="18"/>
      <c r="N2018" s="18"/>
    </row>
    <row r="2019" spans="1:14">
      <c r="A2019" s="347" t="s">
        <v>1746</v>
      </c>
      <c r="B2019" s="18"/>
      <c r="C2019" s="18"/>
      <c r="D2019" s="18"/>
      <c r="E2019" s="18"/>
      <c r="F2019" s="18"/>
      <c r="G2019" s="18"/>
      <c r="H2019" s="18"/>
      <c r="I2019" s="18"/>
      <c r="J2019" s="18">
        <v>3651857</v>
      </c>
      <c r="K2019" s="18"/>
      <c r="L2019" s="18"/>
      <c r="M2019" s="18"/>
      <c r="N2019" s="18">
        <v>3651857</v>
      </c>
    </row>
    <row r="2020" spans="1:14">
      <c r="A2020" s="347" t="s">
        <v>1536</v>
      </c>
      <c r="B2020" s="18"/>
      <c r="C2020" s="18"/>
      <c r="D2020" s="18"/>
      <c r="E2020" s="18"/>
      <c r="F2020" s="18"/>
      <c r="G2020" s="18"/>
      <c r="H2020" s="18"/>
      <c r="I2020" s="18"/>
      <c r="J2020" s="18"/>
      <c r="K2020" s="18"/>
      <c r="L2020" s="18"/>
      <c r="M2020" s="18"/>
      <c r="N2020" s="18"/>
    </row>
    <row r="2021" spans="1:14">
      <c r="A2021" s="347" t="s">
        <v>1326</v>
      </c>
      <c r="B2021" s="18"/>
      <c r="C2021" s="18"/>
      <c r="D2021" s="18"/>
      <c r="E2021" s="18"/>
      <c r="F2021" s="18"/>
      <c r="G2021" s="18"/>
      <c r="H2021" s="18"/>
      <c r="I2021" s="18"/>
      <c r="J2021" s="18"/>
      <c r="K2021" s="18"/>
      <c r="L2021" s="18"/>
      <c r="M2021" s="18"/>
      <c r="N2021" s="18"/>
    </row>
    <row r="2022" spans="1:14">
      <c r="A2022" s="347" t="s">
        <v>1116</v>
      </c>
      <c r="B2022" s="18"/>
      <c r="C2022" s="18"/>
      <c r="D2022" s="18"/>
      <c r="E2022" s="18"/>
      <c r="F2022" s="18"/>
      <c r="G2022" s="18"/>
      <c r="H2022" s="18"/>
      <c r="I2022" s="18"/>
      <c r="J2022" s="18"/>
      <c r="K2022" s="18"/>
      <c r="L2022" s="18"/>
      <c r="M2022" s="18"/>
      <c r="N2022" s="18"/>
    </row>
    <row r="2023" spans="1:14">
      <c r="A2023" s="347" t="s">
        <v>733</v>
      </c>
      <c r="B2023" s="18"/>
      <c r="C2023" s="18"/>
      <c r="D2023" s="18"/>
      <c r="E2023" s="18"/>
      <c r="F2023" s="18"/>
      <c r="G2023" s="18"/>
      <c r="H2023" s="18"/>
      <c r="I2023" s="18"/>
      <c r="J2023" s="18"/>
      <c r="K2023" s="18"/>
      <c r="L2023" s="18"/>
      <c r="M2023" s="18"/>
      <c r="N2023" s="18"/>
    </row>
    <row r="2024" spans="1:14">
      <c r="A2024" s="489" t="s">
        <v>733</v>
      </c>
      <c r="B2024" s="18"/>
      <c r="C2024" s="18"/>
      <c r="D2024" s="18"/>
      <c r="E2024" s="18"/>
      <c r="F2024" s="18"/>
      <c r="G2024" s="18"/>
      <c r="H2024" s="18"/>
      <c r="I2024" s="18"/>
      <c r="J2024" s="18"/>
      <c r="K2024" s="18"/>
      <c r="L2024" s="18"/>
      <c r="M2024" s="18"/>
      <c r="N2024" s="18"/>
    </row>
    <row r="2025" spans="1:14">
      <c r="A2025" s="753" t="s">
        <v>733</v>
      </c>
      <c r="B2025" s="18"/>
      <c r="C2025" s="18"/>
      <c r="D2025" s="18"/>
      <c r="E2025" s="18"/>
      <c r="F2025" s="18"/>
      <c r="G2025" s="18"/>
      <c r="H2025" s="18"/>
      <c r="I2025" s="18"/>
      <c r="J2025" s="18"/>
      <c r="K2025" s="18"/>
      <c r="L2025" s="18"/>
      <c r="M2025" s="18"/>
      <c r="N2025" s="18"/>
    </row>
    <row r="2026" spans="1:14">
      <c r="A2026" s="754" t="s">
        <v>898</v>
      </c>
      <c r="B2026" s="18"/>
      <c r="C2026" s="18"/>
      <c r="D2026" s="18"/>
      <c r="E2026" s="18"/>
      <c r="F2026" s="18"/>
      <c r="G2026" s="18"/>
      <c r="H2026" s="18"/>
      <c r="I2026" s="18"/>
      <c r="J2026" s="18"/>
      <c r="K2026" s="18"/>
      <c r="L2026" s="18"/>
      <c r="M2026" s="18"/>
      <c r="N2026" s="18"/>
    </row>
    <row r="2027" spans="1:14">
      <c r="A2027" s="754" t="s">
        <v>901</v>
      </c>
      <c r="B2027" s="18"/>
      <c r="C2027" s="18"/>
      <c r="D2027" s="18"/>
      <c r="E2027" s="18"/>
      <c r="F2027" s="18"/>
      <c r="G2027" s="18"/>
      <c r="H2027" s="18"/>
      <c r="I2027" s="18"/>
      <c r="J2027" s="18"/>
      <c r="K2027" s="18"/>
      <c r="L2027" s="18"/>
      <c r="M2027" s="18"/>
      <c r="N2027" s="18"/>
    </row>
    <row r="2028" spans="1:14">
      <c r="A2028" s="754" t="s">
        <v>903</v>
      </c>
      <c r="B2028" s="18"/>
      <c r="C2028" s="18"/>
      <c r="D2028" s="18"/>
      <c r="E2028" s="18"/>
      <c r="F2028" s="18"/>
      <c r="G2028" s="18"/>
      <c r="H2028" s="18"/>
      <c r="I2028" s="18"/>
      <c r="J2028" s="18"/>
      <c r="K2028" s="18"/>
      <c r="L2028" s="18"/>
      <c r="M2028" s="18"/>
      <c r="N2028" s="18"/>
    </row>
    <row r="2029" spans="1:14">
      <c r="A2029" s="754" t="s">
        <v>905</v>
      </c>
      <c r="B2029" s="18"/>
      <c r="C2029" s="18"/>
      <c r="D2029" s="18"/>
      <c r="E2029" s="18"/>
      <c r="F2029" s="18"/>
      <c r="G2029" s="18"/>
      <c r="H2029" s="18"/>
      <c r="I2029" s="18"/>
      <c r="J2029" s="18"/>
      <c r="K2029" s="18"/>
      <c r="L2029" s="18"/>
      <c r="M2029" s="18"/>
      <c r="N2029" s="18"/>
    </row>
    <row r="2030" spans="1:14">
      <c r="A2030" s="754" t="s">
        <v>174</v>
      </c>
      <c r="B2030" s="18"/>
      <c r="C2030" s="18"/>
      <c r="D2030" s="18"/>
      <c r="E2030" s="18"/>
      <c r="F2030" s="18"/>
      <c r="G2030" s="18"/>
      <c r="H2030" s="18"/>
      <c r="I2030" s="18"/>
      <c r="J2030" s="18"/>
      <c r="K2030" s="18"/>
      <c r="L2030" s="18"/>
      <c r="M2030" s="18"/>
      <c r="N2030" s="18"/>
    </row>
    <row r="2031" spans="1:14">
      <c r="A2031" s="489" t="s">
        <v>1750</v>
      </c>
      <c r="B2031" s="18"/>
      <c r="C2031" s="18"/>
      <c r="D2031" s="18"/>
      <c r="E2031" s="18"/>
      <c r="F2031" s="18"/>
      <c r="G2031" s="18"/>
      <c r="H2031" s="18"/>
      <c r="I2031" s="18"/>
      <c r="J2031" s="18"/>
      <c r="K2031" s="18"/>
      <c r="L2031" s="18"/>
      <c r="M2031" s="18"/>
      <c r="N2031" s="18"/>
    </row>
    <row r="2032" spans="1:14">
      <c r="A2032" s="489" t="s">
        <v>1540</v>
      </c>
      <c r="B2032" s="18"/>
      <c r="C2032" s="18"/>
      <c r="D2032" s="18"/>
      <c r="E2032" s="18"/>
      <c r="F2032" s="18"/>
      <c r="G2032" s="18"/>
      <c r="H2032" s="18"/>
      <c r="I2032" s="18"/>
      <c r="J2032" s="18"/>
      <c r="K2032" s="18"/>
      <c r="L2032" s="18"/>
      <c r="M2032" s="18"/>
      <c r="N2032" s="18"/>
    </row>
    <row r="2033" spans="1:14">
      <c r="A2033" s="489" t="s">
        <v>1330</v>
      </c>
      <c r="B2033" s="18"/>
      <c r="C2033" s="18"/>
      <c r="D2033" s="18"/>
      <c r="E2033" s="18"/>
      <c r="F2033" s="18"/>
      <c r="G2033" s="18"/>
      <c r="H2033" s="18"/>
      <c r="I2033" s="18"/>
      <c r="J2033" s="18"/>
      <c r="K2033" s="18"/>
      <c r="L2033" s="18"/>
      <c r="M2033" s="18"/>
      <c r="N2033" s="18"/>
    </row>
    <row r="2034" spans="1:14">
      <c r="A2034" s="489" t="s">
        <v>1120</v>
      </c>
      <c r="B2034" s="18"/>
      <c r="C2034" s="18"/>
      <c r="D2034" s="18"/>
      <c r="E2034" s="18"/>
      <c r="F2034" s="18"/>
      <c r="G2034" s="18"/>
      <c r="H2034" s="18"/>
      <c r="I2034" s="18"/>
      <c r="J2034" s="18"/>
      <c r="K2034" s="18"/>
      <c r="L2034" s="18"/>
      <c r="M2034" s="18"/>
      <c r="N2034" s="18"/>
    </row>
    <row r="2035" spans="1:14">
      <c r="A2035" s="489" t="s">
        <v>910</v>
      </c>
      <c r="B2035" s="18"/>
      <c r="C2035" s="18"/>
      <c r="D2035" s="18"/>
      <c r="E2035" s="18"/>
      <c r="F2035" s="18"/>
      <c r="G2035" s="18"/>
      <c r="H2035" s="18"/>
      <c r="I2035" s="18"/>
      <c r="J2035" s="18"/>
      <c r="K2035" s="18"/>
      <c r="L2035" s="18"/>
      <c r="M2035" s="18"/>
      <c r="N2035" s="18"/>
    </row>
    <row r="2036" spans="1:14">
      <c r="A2036" s="347" t="s">
        <v>1750</v>
      </c>
      <c r="B2036" s="18"/>
      <c r="C2036" s="18"/>
      <c r="D2036" s="18"/>
      <c r="E2036" s="18"/>
      <c r="F2036" s="18"/>
      <c r="G2036" s="18"/>
      <c r="H2036" s="18"/>
      <c r="I2036" s="18"/>
      <c r="J2036" s="18"/>
      <c r="K2036" s="18"/>
      <c r="L2036" s="18"/>
      <c r="M2036" s="18"/>
      <c r="N2036" s="18"/>
    </row>
    <row r="2037" spans="1:14">
      <c r="A2037" s="347" t="s">
        <v>1540</v>
      </c>
      <c r="B2037" s="18"/>
      <c r="C2037" s="18"/>
      <c r="D2037" s="18"/>
      <c r="E2037" s="18"/>
      <c r="F2037" s="18"/>
      <c r="G2037" s="18"/>
      <c r="H2037" s="18"/>
      <c r="I2037" s="18"/>
      <c r="J2037" s="18"/>
      <c r="K2037" s="18"/>
      <c r="L2037" s="18"/>
      <c r="M2037" s="18"/>
      <c r="N2037" s="18"/>
    </row>
    <row r="2038" spans="1:14">
      <c r="A2038" s="347" t="s">
        <v>1330</v>
      </c>
      <c r="B2038" s="18"/>
      <c r="C2038" s="18"/>
      <c r="D2038" s="18"/>
      <c r="E2038" s="18"/>
      <c r="F2038" s="18"/>
      <c r="G2038" s="18"/>
      <c r="H2038" s="18"/>
      <c r="I2038" s="18"/>
      <c r="J2038" s="18"/>
      <c r="K2038" s="18"/>
      <c r="L2038" s="18"/>
      <c r="M2038" s="18"/>
      <c r="N2038" s="18"/>
    </row>
    <row r="2039" spans="1:14">
      <c r="A2039" s="347" t="s">
        <v>1120</v>
      </c>
      <c r="B2039" s="18"/>
      <c r="C2039" s="18"/>
      <c r="D2039" s="18"/>
      <c r="E2039" s="18"/>
      <c r="F2039" s="18"/>
      <c r="G2039" s="18"/>
      <c r="H2039" s="18"/>
      <c r="I2039" s="18"/>
      <c r="J2039" s="18"/>
      <c r="K2039" s="18"/>
      <c r="L2039" s="18"/>
      <c r="M2039" s="18"/>
      <c r="N2039" s="18"/>
    </row>
    <row r="2040" spans="1:14">
      <c r="A2040" s="347" t="s">
        <v>910</v>
      </c>
      <c r="B2040" s="18"/>
      <c r="C2040" s="18"/>
      <c r="D2040" s="18"/>
      <c r="E2040" s="18"/>
      <c r="F2040" s="18"/>
      <c r="G2040" s="18"/>
      <c r="H2040" s="18"/>
      <c r="I2040" s="18"/>
      <c r="J2040" s="18"/>
      <c r="K2040" s="18"/>
      <c r="L2040" s="18"/>
      <c r="M2040" s="18"/>
      <c r="N2040" s="18"/>
    </row>
    <row r="2041" spans="1:14">
      <c r="A2041" s="19" t="s">
        <v>1750</v>
      </c>
      <c r="B2041" s="18"/>
      <c r="C2041" s="18"/>
      <c r="D2041" s="18"/>
      <c r="E2041" s="18"/>
      <c r="F2041" s="18"/>
      <c r="G2041" s="18"/>
      <c r="H2041" s="18"/>
      <c r="I2041" s="18"/>
      <c r="J2041" s="18"/>
      <c r="K2041" s="18"/>
      <c r="L2041" s="18"/>
      <c r="M2041" s="18"/>
      <c r="N2041" s="18"/>
    </row>
    <row r="2042" spans="1:14">
      <c r="A2042" s="19" t="s">
        <v>1540</v>
      </c>
      <c r="B2042" s="18"/>
      <c r="C2042" s="18"/>
      <c r="D2042" s="18"/>
      <c r="E2042" s="18"/>
      <c r="F2042" s="18"/>
      <c r="G2042" s="18"/>
      <c r="H2042" s="18"/>
      <c r="I2042" s="18"/>
      <c r="J2042" s="18">
        <v>7215628</v>
      </c>
      <c r="K2042" s="18">
        <v>0</v>
      </c>
      <c r="L2042" s="18">
        <v>0</v>
      </c>
      <c r="M2042" s="18">
        <v>0</v>
      </c>
      <c r="N2042" s="18">
        <v>7215628</v>
      </c>
    </row>
    <row r="2043" spans="1:14">
      <c r="A2043" s="19" t="s">
        <v>1330</v>
      </c>
      <c r="B2043" s="18"/>
      <c r="C2043" s="18"/>
      <c r="D2043" s="18"/>
      <c r="E2043" s="18"/>
      <c r="F2043" s="18"/>
      <c r="G2043" s="18"/>
      <c r="H2043" s="18"/>
      <c r="I2043" s="18"/>
      <c r="J2043" s="18"/>
      <c r="K2043" s="18"/>
      <c r="L2043" s="18"/>
      <c r="M2043" s="18"/>
      <c r="N2043" s="18"/>
    </row>
    <row r="2044" spans="1:14">
      <c r="A2044" s="19" t="s">
        <v>1120</v>
      </c>
      <c r="B2044" s="18"/>
      <c r="C2044" s="18"/>
      <c r="D2044" s="18"/>
      <c r="E2044" s="18"/>
      <c r="F2044" s="18"/>
      <c r="G2044" s="18"/>
      <c r="H2044" s="18"/>
      <c r="I2044" s="18"/>
      <c r="J2044" s="18">
        <v>48903.05</v>
      </c>
      <c r="K2044" s="18"/>
      <c r="L2044" s="18"/>
      <c r="M2044" s="18"/>
      <c r="N2044" s="18">
        <v>48903.05</v>
      </c>
    </row>
    <row r="2045" spans="1:14">
      <c r="A2045" s="19" t="s">
        <v>910</v>
      </c>
      <c r="B2045" s="18"/>
      <c r="C2045" s="18"/>
      <c r="D2045" s="18"/>
      <c r="E2045" s="18"/>
      <c r="F2045" s="18"/>
      <c r="G2045" s="18"/>
      <c r="H2045" s="18"/>
      <c r="I2045" s="18"/>
      <c r="J2045" s="18"/>
      <c r="K2045" s="18"/>
      <c r="L2045" s="18"/>
      <c r="M2045" s="18"/>
      <c r="N2045" s="18"/>
    </row>
    <row r="2046" spans="1:14">
      <c r="A2046" s="4" t="s">
        <v>1750</v>
      </c>
      <c r="B2046" s="18"/>
      <c r="C2046" s="18"/>
      <c r="D2046" s="18"/>
      <c r="E2046" s="18"/>
      <c r="F2046" s="18"/>
      <c r="G2046" s="18"/>
      <c r="H2046" s="18"/>
      <c r="I2046" s="18"/>
      <c r="J2046" s="18"/>
      <c r="K2046" s="18"/>
      <c r="L2046" s="18"/>
      <c r="M2046" s="18"/>
      <c r="N2046" s="18"/>
    </row>
    <row r="2047" spans="1:14">
      <c r="A2047" s="4" t="s">
        <v>1540</v>
      </c>
      <c r="B2047" s="18"/>
      <c r="C2047" s="18"/>
      <c r="D2047" s="18"/>
      <c r="E2047" s="18"/>
      <c r="F2047" s="18"/>
      <c r="G2047" s="18"/>
      <c r="H2047" s="18"/>
      <c r="I2047" s="18"/>
      <c r="J2047" s="18">
        <v>7215628</v>
      </c>
      <c r="K2047" s="18">
        <v>0</v>
      </c>
      <c r="L2047" s="18">
        <v>0</v>
      </c>
      <c r="M2047" s="18">
        <v>0</v>
      </c>
      <c r="N2047" s="18">
        <v>7215628</v>
      </c>
    </row>
    <row r="2048" spans="1:14">
      <c r="A2048" s="4" t="s">
        <v>1330</v>
      </c>
      <c r="B2048" s="18"/>
      <c r="C2048" s="18"/>
      <c r="D2048" s="18"/>
      <c r="E2048" s="18"/>
      <c r="F2048" s="18"/>
      <c r="G2048" s="18"/>
      <c r="H2048" s="18"/>
      <c r="I2048" s="18"/>
      <c r="J2048" s="18"/>
      <c r="K2048" s="18"/>
      <c r="L2048" s="18"/>
      <c r="M2048" s="18"/>
      <c r="N2048" s="18"/>
    </row>
    <row r="2049" spans="1:14">
      <c r="A2049" s="4" t="s">
        <v>1120</v>
      </c>
      <c r="B2049" s="18"/>
      <c r="C2049" s="18"/>
      <c r="D2049" s="18"/>
      <c r="E2049" s="18"/>
      <c r="F2049" s="18"/>
      <c r="G2049" s="18"/>
      <c r="H2049" s="18"/>
      <c r="I2049" s="18"/>
      <c r="J2049" s="18">
        <v>48903.05</v>
      </c>
      <c r="K2049" s="18"/>
      <c r="L2049" s="18"/>
      <c r="M2049" s="18"/>
      <c r="N2049" s="18">
        <v>48903.05</v>
      </c>
    </row>
    <row r="2050" spans="1:14">
      <c r="A2050" s="4" t="s">
        <v>910</v>
      </c>
      <c r="B2050" s="18"/>
      <c r="C2050" s="18"/>
      <c r="D2050" s="18"/>
      <c r="E2050" s="18"/>
      <c r="F2050" s="18"/>
      <c r="G2050" s="18"/>
      <c r="H2050" s="18"/>
      <c r="I2050" s="18"/>
      <c r="J2050" s="18"/>
      <c r="K2050" s="18"/>
      <c r="L2050" s="18"/>
      <c r="M2050" s="18"/>
      <c r="N2050" s="18"/>
    </row>
    <row r="2051" spans="1:14">
      <c r="A2051" s="4" t="s">
        <v>899</v>
      </c>
      <c r="B2051" s="18">
        <v>0</v>
      </c>
      <c r="C2051" s="18">
        <v>6482672</v>
      </c>
      <c r="D2051" s="18">
        <v>18405941.670000002</v>
      </c>
      <c r="E2051" s="18">
        <v>21708802.579999998</v>
      </c>
      <c r="F2051" s="18">
        <v>9043416.4299999997</v>
      </c>
      <c r="G2051" s="18">
        <v>9551884.4196867757</v>
      </c>
      <c r="H2051" s="18">
        <v>13697128.43736187</v>
      </c>
      <c r="I2051" s="18">
        <v>17212563.530000001</v>
      </c>
      <c r="J2051" s="18"/>
      <c r="K2051" s="18"/>
      <c r="L2051" s="18"/>
      <c r="M2051" s="18"/>
      <c r="N2051" s="18">
        <v>96102409.067048624</v>
      </c>
    </row>
    <row r="2052" spans="1:14">
      <c r="A2052" s="4" t="s">
        <v>900</v>
      </c>
      <c r="B2052" s="18">
        <v>4787000</v>
      </c>
      <c r="C2052" s="18">
        <v>14808444</v>
      </c>
      <c r="D2052" s="18">
        <v>35811708.939999998</v>
      </c>
      <c r="E2052" s="18">
        <v>40833428.950000003</v>
      </c>
      <c r="F2052" s="18">
        <v>17101293.675000001</v>
      </c>
      <c r="G2052" s="18">
        <v>18576271</v>
      </c>
      <c r="H2052" s="18">
        <v>24956624.669999998</v>
      </c>
      <c r="I2052" s="18">
        <v>30156644.52</v>
      </c>
      <c r="J2052" s="18">
        <v>7215628</v>
      </c>
      <c r="K2052" s="18">
        <v>0</v>
      </c>
      <c r="L2052" s="18">
        <v>0</v>
      </c>
      <c r="M2052" s="18">
        <v>0</v>
      </c>
      <c r="N2052" s="18">
        <v>194247043.75500005</v>
      </c>
    </row>
    <row r="2053" spans="1:14">
      <c r="A2053" s="4" t="s">
        <v>902</v>
      </c>
      <c r="B2053" s="18">
        <v>2627133</v>
      </c>
      <c r="C2053" s="18">
        <v>2114449</v>
      </c>
      <c r="D2053" s="18">
        <v>4137986</v>
      </c>
      <c r="E2053" s="18">
        <v>4715835</v>
      </c>
      <c r="F2053" s="18">
        <v>3405751</v>
      </c>
      <c r="G2053" s="18">
        <v>3512000</v>
      </c>
      <c r="H2053" s="18">
        <v>4850000</v>
      </c>
      <c r="I2053" s="18">
        <v>4876000</v>
      </c>
      <c r="J2053" s="18"/>
      <c r="K2053" s="18"/>
      <c r="L2053" s="18"/>
      <c r="M2053" s="18"/>
      <c r="N2053" s="18">
        <v>30239154</v>
      </c>
    </row>
    <row r="2054" spans="1:14">
      <c r="A2054" s="4" t="s">
        <v>904</v>
      </c>
      <c r="B2054" s="18"/>
      <c r="C2054" s="18">
        <v>67129</v>
      </c>
      <c r="D2054" s="18">
        <v>64668</v>
      </c>
      <c r="E2054" s="18">
        <v>15485</v>
      </c>
      <c r="F2054" s="18">
        <v>117914.97</v>
      </c>
      <c r="G2054" s="18">
        <v>259470</v>
      </c>
      <c r="H2054" s="18">
        <v>150781</v>
      </c>
      <c r="I2054" s="18">
        <v>4003395.71</v>
      </c>
      <c r="J2054" s="18">
        <v>48903.05</v>
      </c>
      <c r="K2054" s="18"/>
      <c r="L2054" s="18"/>
      <c r="M2054" s="18"/>
      <c r="N2054" s="18">
        <v>4727746.7299999995</v>
      </c>
    </row>
    <row r="2055" spans="1:14">
      <c r="A2055" s="4" t="s">
        <v>906</v>
      </c>
      <c r="B2055" s="18">
        <v>72193</v>
      </c>
      <c r="C2055" s="18">
        <v>253357.88</v>
      </c>
      <c r="D2055" s="18">
        <v>2023908.7172136907</v>
      </c>
      <c r="E2055" s="18">
        <v>3224289.4583649663</v>
      </c>
      <c r="F2055" s="18">
        <v>569755.8395668196</v>
      </c>
      <c r="G2055" s="18">
        <v>66994</v>
      </c>
      <c r="H2055" s="18">
        <v>240000</v>
      </c>
      <c r="I2055" s="18">
        <v>640000</v>
      </c>
      <c r="J2055" s="18"/>
      <c r="K2055" s="18"/>
      <c r="L2055" s="18"/>
      <c r="M2055" s="18"/>
      <c r="N2055" s="18">
        <v>7090498.8951454759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8E61D"/>
    <pageSetUpPr fitToPage="1"/>
  </sheetPr>
  <dimension ref="A1:JE217"/>
  <sheetViews>
    <sheetView view="pageBreakPreview" zoomScale="55" zoomScaleNormal="70" zoomScaleSheetLayoutView="55" workbookViewId="0">
      <pane xSplit="1" ySplit="1" topLeftCell="B210" activePane="bottomRight" state="frozen"/>
      <selection pane="topRight" activeCell="B1" sqref="B1"/>
      <selection pane="bottomLeft" activeCell="A2" sqref="A2"/>
      <selection pane="bottomRight" activeCell="J217" sqref="J217"/>
    </sheetView>
  </sheetViews>
  <sheetFormatPr baseColWidth="10" defaultColWidth="11.42578125" defaultRowHeight="15" outlineLevelCol="1"/>
  <cols>
    <col min="1" max="1" width="27.85546875" style="368" customWidth="1"/>
    <col min="2" max="2" width="17" style="14" customWidth="1"/>
    <col min="3" max="3" width="16.42578125" style="14" customWidth="1"/>
    <col min="4" max="4" width="10" style="14" customWidth="1"/>
    <col min="5" max="5" width="12.85546875" style="14" customWidth="1"/>
    <col min="6" max="6" width="12.5703125" style="14" customWidth="1"/>
    <col min="7" max="7" width="8.42578125" style="14" customWidth="1"/>
    <col min="8" max="8" width="18.7109375" style="14" customWidth="1"/>
    <col min="9" max="9" width="20.7109375" style="14" customWidth="1"/>
    <col min="10" max="10" width="16.5703125" style="14" customWidth="1"/>
    <col min="11" max="11" width="70.5703125" style="339" customWidth="1" outlineLevel="1"/>
    <col min="12" max="12" width="18.5703125" style="209" customWidth="1" outlineLevel="1"/>
    <col min="13" max="13" width="13.28515625" style="209" customWidth="1" outlineLevel="1"/>
    <col min="14" max="14" width="21.5703125" style="209" customWidth="1" outlineLevel="1"/>
    <col min="15" max="27" width="17.85546875" style="14" customWidth="1" outlineLevel="1"/>
    <col min="28" max="28" width="22" style="14" customWidth="1" outlineLevel="1"/>
    <col min="29" max="29" width="7.42578125" style="14" customWidth="1"/>
    <col min="30" max="30" width="11.42578125" style="14" customWidth="1" collapsed="1"/>
    <col min="31" max="31" width="9.42578125" style="14" customWidth="1"/>
    <col min="32" max="32" width="11.85546875" style="14" customWidth="1" collapsed="1"/>
    <col min="33" max="34" width="11.85546875" style="14" customWidth="1"/>
    <col min="35" max="35" width="11.85546875" style="14" customWidth="1" outlineLevel="1"/>
    <col min="36" max="36" width="12.42578125" style="14" customWidth="1" outlineLevel="1"/>
    <col min="37" max="37" width="10.5703125" style="14" customWidth="1" outlineLevel="1"/>
    <col min="38" max="43" width="15.5703125" style="14" customWidth="1" outlineLevel="1"/>
    <col min="44" max="44" width="15.5703125" style="153" customWidth="1" outlineLevel="1"/>
    <col min="45" max="45" width="15.5703125" style="32" customWidth="1" outlineLevel="1"/>
    <col min="46" max="48" width="15.5703125" style="14" customWidth="1" outlineLevel="1"/>
    <col min="49" max="50" width="15.5703125" style="14" customWidth="1"/>
    <col min="51" max="51" width="17.85546875" style="190" customWidth="1" outlineLevel="1"/>
    <col min="52" max="52" width="15.5703125" style="190" customWidth="1" outlineLevel="1"/>
    <col min="53" max="53" width="19.42578125" style="190" customWidth="1"/>
    <col min="54" max="55" width="21.5703125" style="190" customWidth="1"/>
    <col min="56" max="56" width="19.42578125" style="190" customWidth="1"/>
    <col min="57" max="58" width="21" style="190" customWidth="1"/>
    <col min="59" max="59" width="20.5703125" style="190" customWidth="1" outlineLevel="1"/>
    <col min="60" max="61" width="18.42578125" style="190" customWidth="1" outlineLevel="1"/>
    <col min="62" max="66" width="21.42578125" style="190" customWidth="1" outlineLevel="1"/>
    <col min="67" max="67" width="18.42578125" style="190" customWidth="1" outlineLevel="1"/>
    <col min="68" max="68" width="29.5703125" style="190" customWidth="1" outlineLevel="1"/>
    <col min="69" max="69" width="15.5703125" style="190" customWidth="1" outlineLevel="1"/>
    <col min="70" max="70" width="20.42578125" style="190" customWidth="1" outlineLevel="1"/>
    <col min="71" max="71" width="25.42578125" style="190" customWidth="1" outlineLevel="1"/>
    <col min="72" max="72" width="26" style="191" customWidth="1" outlineLevel="1"/>
    <col min="73" max="73" width="19.140625" style="190" customWidth="1"/>
    <col min="74" max="74" width="27.28515625" style="236" customWidth="1"/>
    <col min="75" max="75" width="18" style="236" customWidth="1"/>
    <col min="76" max="80" width="18" style="190" customWidth="1"/>
    <col min="81" max="81" width="18" style="679" customWidth="1"/>
    <col min="82" max="82" width="23.7109375" style="14" customWidth="1" outlineLevel="1"/>
    <col min="83" max="84" width="15.5703125" style="14" customWidth="1" outlineLevel="1"/>
    <col min="85" max="85" width="21.28515625" style="14" customWidth="1" outlineLevel="1"/>
    <col min="86" max="87" width="15.5703125" style="243" customWidth="1" outlineLevel="1"/>
    <col min="88" max="88" width="21.28515625" style="14" customWidth="1" outlineLevel="1"/>
    <col min="89" max="89" width="15.5703125" style="14" customWidth="1" outlineLevel="1"/>
    <col min="90" max="90" width="10.85546875" style="14" customWidth="1" outlineLevel="1"/>
    <col min="91" max="91" width="11.140625" style="14" customWidth="1" outlineLevel="1"/>
    <col min="92" max="92" width="11.7109375" style="14" customWidth="1" outlineLevel="1"/>
    <col min="93" max="93" width="10.85546875" style="14" customWidth="1" outlineLevel="1"/>
    <col min="94" max="95" width="19.42578125" style="14" customWidth="1" outlineLevel="1"/>
    <col min="96" max="96" width="14.7109375" style="14" customWidth="1" outlineLevel="1"/>
    <col min="97" max="97" width="20" style="14" customWidth="1" outlineLevel="1"/>
    <col min="98" max="98" width="15.5703125" style="14" customWidth="1" outlineLevel="1"/>
    <col min="99" max="99" width="23" style="14" customWidth="1" outlineLevel="1"/>
    <col min="100" max="100" width="18.28515625" style="14" customWidth="1" outlineLevel="1"/>
    <col min="101" max="101" width="19" style="14" customWidth="1" outlineLevel="1"/>
    <col min="102" max="102" width="19" style="366" customWidth="1" outlineLevel="1"/>
    <col min="103" max="103" width="19" style="14" customWidth="1" outlineLevel="1"/>
    <col min="104" max="110" width="9.42578125" style="14" customWidth="1" outlineLevel="1"/>
    <col min="111" max="116" width="9.42578125" style="14" customWidth="1"/>
    <col min="117" max="117" width="15" style="14" customWidth="1"/>
    <col min="118" max="118" width="21.140625" style="14" customWidth="1"/>
    <col min="119" max="122" width="9.42578125" style="14" customWidth="1"/>
    <col min="123" max="123" width="30.7109375" style="14" customWidth="1"/>
    <col min="124" max="125" width="30.7109375" style="634" customWidth="1"/>
    <col min="126" max="126" width="30.7109375" style="33" customWidth="1"/>
    <col min="127" max="127" width="30.7109375" style="14" customWidth="1"/>
    <col min="128" max="128" width="30.7109375" style="634" customWidth="1"/>
    <col min="129" max="129" width="30.7109375" style="14" customWidth="1"/>
    <col min="130" max="130" width="30.7109375" style="634" customWidth="1"/>
    <col min="131" max="135" width="30.7109375" style="14" customWidth="1"/>
    <col min="136" max="137" width="30.7109375" style="634" customWidth="1"/>
    <col min="138" max="138" width="30.7109375" style="14" customWidth="1"/>
    <col min="139" max="141" width="30.7109375" style="634" customWidth="1"/>
    <col min="142" max="142" width="30.7109375" style="14" customWidth="1"/>
    <col min="143" max="144" width="30.7109375" style="634" customWidth="1"/>
    <col min="145" max="145" width="30.7109375" style="14" customWidth="1"/>
    <col min="146" max="147" width="30.7109375" style="634" customWidth="1"/>
    <col min="148" max="148" width="30.7109375" style="33" customWidth="1"/>
    <col min="149" max="150" width="30.7109375" style="634" customWidth="1"/>
    <col min="151" max="151" width="30.7109375" style="14" customWidth="1"/>
    <col min="152" max="153" width="30.7109375" style="634" customWidth="1"/>
    <col min="154" max="154" width="30.7109375" style="14" customWidth="1"/>
    <col min="155" max="156" width="30.7109375" style="634" customWidth="1"/>
    <col min="157" max="157" width="30.7109375" style="14" customWidth="1"/>
    <col min="158" max="159" width="30.7109375" style="634" customWidth="1"/>
    <col min="160" max="160" width="30.7109375" style="14" customWidth="1"/>
    <col min="161" max="162" width="30.7109375" style="634" customWidth="1"/>
    <col min="163" max="163" width="30.7109375" style="14" customWidth="1"/>
    <col min="164" max="165" width="30.7109375" style="640" customWidth="1"/>
    <col min="166" max="166" width="30.7109375" style="16" customWidth="1"/>
    <col min="167" max="171" width="30.7109375" style="640" customWidth="1"/>
    <col min="172" max="172" width="19.28515625" style="16" customWidth="1"/>
    <col min="173" max="174" width="30.7109375" style="640" customWidth="1"/>
    <col min="175" max="178" width="30.7109375" style="667" customWidth="1"/>
    <col min="179" max="182" width="30.7109375" style="16" customWidth="1"/>
    <col min="183" max="183" width="50.42578125" style="16" customWidth="1"/>
    <col min="184" max="184" width="37" style="16" customWidth="1"/>
    <col min="185" max="185" width="18" style="190" customWidth="1" outlineLevel="1"/>
    <col min="186" max="186" width="27" style="726" customWidth="1" outlineLevel="1"/>
    <col min="187" max="187" width="18.7109375" style="14" hidden="1" customWidth="1" outlineLevel="1"/>
    <col min="188" max="188" width="18" style="14" customWidth="1" outlineLevel="1"/>
    <col min="189" max="189" width="18" style="14" hidden="1" customWidth="1" outlineLevel="1"/>
    <col min="190" max="190" width="11.42578125" style="14" hidden="1" customWidth="1" outlineLevel="1"/>
    <col min="191" max="191" width="12" style="14" hidden="1" customWidth="1" outlineLevel="1"/>
    <col min="192" max="194" width="15.5703125" style="14" hidden="1" customWidth="1" outlineLevel="1"/>
    <col min="195" max="195" width="9.5703125" style="14" hidden="1" customWidth="1" outlineLevel="1"/>
    <col min="196" max="196" width="19.85546875" style="14" hidden="1" customWidth="1" outlineLevel="1"/>
    <col min="197" max="197" width="15.5703125" style="14" hidden="1" customWidth="1" outlineLevel="1"/>
    <col min="198" max="198" width="17" style="14" customWidth="1" outlineLevel="1"/>
    <col min="199" max="199" width="12.5703125" style="14" hidden="1" customWidth="1" outlineLevel="1"/>
    <col min="200" max="200" width="15.5703125" style="14" hidden="1" customWidth="1" outlineLevel="1"/>
    <col min="201" max="201" width="19" style="14" hidden="1" customWidth="1" outlineLevel="1"/>
    <col min="202" max="203" width="15.5703125" style="14" customWidth="1" outlineLevel="1"/>
    <col min="204" max="204" width="18.5703125" style="14" customWidth="1" outlineLevel="1"/>
    <col min="205" max="205" width="19.85546875" style="14" hidden="1" customWidth="1" outlineLevel="1"/>
    <col min="206" max="206" width="12.42578125" style="14" hidden="1" customWidth="1" outlineLevel="1"/>
    <col min="207" max="207" width="15.85546875" style="14" hidden="1" customWidth="1" outlineLevel="1"/>
    <col min="208" max="208" width="15.42578125" style="14" hidden="1" customWidth="1" outlineLevel="1"/>
    <col min="209" max="209" width="15.5703125" style="65" customWidth="1" outlineLevel="1"/>
    <col min="210" max="210" width="15.5703125" style="65" hidden="1" customWidth="1" outlineLevel="1"/>
    <col min="211" max="211" width="11" style="65" hidden="1" customWidth="1" outlineLevel="1"/>
    <col min="212" max="212" width="15.28515625" style="65" customWidth="1" outlineLevel="1"/>
    <col min="213" max="213" width="16.5703125" style="65" customWidth="1" outlineLevel="1"/>
    <col min="214" max="214" width="14" style="65" hidden="1" customWidth="1" outlineLevel="1"/>
    <col min="215" max="215" width="14.140625" style="65" hidden="1" customWidth="1" outlineLevel="1"/>
    <col min="216" max="216" width="17.140625" style="65" hidden="1" customWidth="1" outlineLevel="1"/>
    <col min="217" max="217" width="15.5703125" style="14" hidden="1" customWidth="1" outlineLevel="1"/>
    <col min="218" max="218" width="9.5703125" style="14" hidden="1" customWidth="1" outlineLevel="1"/>
    <col min="219" max="219" width="10.5703125" style="14" hidden="1" customWidth="1" outlineLevel="1"/>
    <col min="220" max="220" width="15" style="14" hidden="1" customWidth="1" outlineLevel="1"/>
    <col min="221" max="221" width="18" style="14" hidden="1" customWidth="1" outlineLevel="1"/>
    <col min="222" max="222" width="15.5703125" style="14" hidden="1" customWidth="1" outlineLevel="1"/>
    <col min="223" max="223" width="13.140625" style="14" hidden="1" customWidth="1" outlineLevel="1"/>
    <col min="224" max="226" width="15.5703125" style="14" hidden="1" customWidth="1" outlineLevel="1"/>
    <col min="227" max="227" width="24.7109375" style="14" hidden="1" customWidth="1" outlineLevel="1"/>
    <col min="228" max="228" width="20.140625" style="14" customWidth="1" outlineLevel="1"/>
    <col min="229" max="229" width="28" style="14" customWidth="1" outlineLevel="1"/>
    <col min="230" max="231" width="19.28515625" style="14" customWidth="1"/>
    <col min="232" max="232" width="25.140625" style="14" customWidth="1"/>
    <col min="233" max="234" width="28.7109375" style="14" customWidth="1"/>
    <col min="235" max="235" width="15.140625" style="14" customWidth="1"/>
    <col min="236" max="236" width="13.28515625" style="14" customWidth="1"/>
    <col min="237" max="237" width="17" style="14" customWidth="1"/>
    <col min="238" max="238" width="14.42578125" style="14" customWidth="1"/>
    <col min="239" max="239" width="20.140625" style="14" customWidth="1"/>
    <col min="240" max="245" width="15.85546875" style="14" customWidth="1"/>
    <col min="246" max="246" width="15.5703125" style="14" customWidth="1"/>
    <col min="247" max="247" width="15.28515625" style="14" customWidth="1"/>
    <col min="248" max="248" width="14.7109375" style="14" customWidth="1"/>
    <col min="249" max="249" width="14.85546875" style="14" customWidth="1"/>
    <col min="250" max="250" width="15.42578125" style="14" customWidth="1"/>
    <col min="251" max="251" width="23.85546875" style="14" customWidth="1"/>
    <col min="252" max="254" width="18.85546875" style="14" customWidth="1"/>
    <col min="255" max="255" width="16.140625" style="14" customWidth="1"/>
    <col min="256" max="256" width="15.28515625" style="14" customWidth="1"/>
    <col min="257" max="257" width="18.7109375" style="14" customWidth="1"/>
    <col min="258" max="258" width="13.7109375" style="14" customWidth="1"/>
    <col min="259" max="259" width="21.42578125" style="14" customWidth="1"/>
    <col min="260" max="260" width="15.85546875" style="14" customWidth="1"/>
    <col min="261" max="261" width="18.42578125" style="14" customWidth="1"/>
    <col min="262" max="262" width="20" style="14" customWidth="1"/>
    <col min="263" max="263" width="15.5703125" style="14" customWidth="1"/>
    <col min="264" max="264" width="14.7109375" style="14" customWidth="1"/>
    <col min="265" max="265" width="17.140625" style="14" customWidth="1"/>
    <col min="266" max="16384" width="11.42578125" style="16"/>
  </cols>
  <sheetData>
    <row r="1" spans="1:265" s="588" customFormat="1" ht="97.5" customHeight="1">
      <c r="A1" s="525" t="s">
        <v>0</v>
      </c>
      <c r="B1" s="525" t="s">
        <v>1</v>
      </c>
      <c r="C1" s="525" t="s">
        <v>116</v>
      </c>
      <c r="D1" s="525" t="s">
        <v>75</v>
      </c>
      <c r="E1" s="525" t="s">
        <v>2</v>
      </c>
      <c r="F1" s="526" t="s">
        <v>10</v>
      </c>
      <c r="G1" s="526" t="s">
        <v>356</v>
      </c>
      <c r="H1" s="526" t="s">
        <v>355</v>
      </c>
      <c r="I1" s="526" t="s">
        <v>345</v>
      </c>
      <c r="J1" s="526" t="s">
        <v>346</v>
      </c>
      <c r="K1" s="527" t="s">
        <v>22</v>
      </c>
      <c r="L1" s="528" t="s">
        <v>62</v>
      </c>
      <c r="M1" s="528" t="s">
        <v>13</v>
      </c>
      <c r="N1" s="528" t="s">
        <v>14</v>
      </c>
      <c r="O1" s="527" t="s">
        <v>198</v>
      </c>
      <c r="P1" s="527" t="s">
        <v>223</v>
      </c>
      <c r="Q1" s="527" t="s">
        <v>222</v>
      </c>
      <c r="R1" s="527" t="s">
        <v>281</v>
      </c>
      <c r="S1" s="527" t="s">
        <v>225</v>
      </c>
      <c r="T1" s="527" t="s">
        <v>224</v>
      </c>
      <c r="U1" s="527" t="s">
        <v>214</v>
      </c>
      <c r="V1" s="527" t="s">
        <v>251</v>
      </c>
      <c r="W1" s="527" t="s">
        <v>231</v>
      </c>
      <c r="X1" s="527" t="s">
        <v>200</v>
      </c>
      <c r="Y1" s="527" t="s">
        <v>248</v>
      </c>
      <c r="Z1" s="527" t="s">
        <v>196</v>
      </c>
      <c r="AA1" s="527" t="s">
        <v>121</v>
      </c>
      <c r="AB1" s="527" t="s">
        <v>122</v>
      </c>
      <c r="AC1" s="525" t="s">
        <v>129</v>
      </c>
      <c r="AD1" s="525" t="s">
        <v>3</v>
      </c>
      <c r="AE1" s="525" t="s">
        <v>15</v>
      </c>
      <c r="AF1" s="525" t="s">
        <v>16</v>
      </c>
      <c r="AG1" s="526" t="s">
        <v>480</v>
      </c>
      <c r="AH1" s="526" t="s">
        <v>732</v>
      </c>
      <c r="AI1" s="525" t="s">
        <v>73</v>
      </c>
      <c r="AJ1" s="529" t="s">
        <v>130</v>
      </c>
      <c r="AK1" s="525" t="s">
        <v>123</v>
      </c>
      <c r="AL1" s="526" t="s">
        <v>226</v>
      </c>
      <c r="AM1" s="526" t="s">
        <v>227</v>
      </c>
      <c r="AN1" s="526" t="s">
        <v>228</v>
      </c>
      <c r="AO1" s="526" t="s">
        <v>229</v>
      </c>
      <c r="AP1" s="526" t="s">
        <v>230</v>
      </c>
      <c r="AQ1" s="525" t="s">
        <v>162</v>
      </c>
      <c r="AR1" s="530" t="s">
        <v>199</v>
      </c>
      <c r="AS1" s="531" t="s">
        <v>221</v>
      </c>
      <c r="AT1" s="526" t="s">
        <v>201</v>
      </c>
      <c r="AU1" s="526" t="s">
        <v>619</v>
      </c>
      <c r="AV1" s="525" t="s">
        <v>124</v>
      </c>
      <c r="AW1" s="532" t="s">
        <v>322</v>
      </c>
      <c r="AX1" s="532" t="s">
        <v>323</v>
      </c>
      <c r="AY1" s="533" t="s">
        <v>5</v>
      </c>
      <c r="AZ1" s="533" t="s">
        <v>4</v>
      </c>
      <c r="BA1" s="534" t="s">
        <v>6</v>
      </c>
      <c r="BB1" s="535" t="s">
        <v>7</v>
      </c>
      <c r="BC1" s="536" t="s">
        <v>329</v>
      </c>
      <c r="BD1" s="534" t="s">
        <v>8</v>
      </c>
      <c r="BE1" s="535" t="s">
        <v>895</v>
      </c>
      <c r="BF1" s="536" t="s">
        <v>329</v>
      </c>
      <c r="BG1" s="537" t="s">
        <v>156</v>
      </c>
      <c r="BH1" s="538" t="s">
        <v>179</v>
      </c>
      <c r="BI1" s="539" t="s">
        <v>286</v>
      </c>
      <c r="BJ1" s="539" t="s">
        <v>301</v>
      </c>
      <c r="BK1" s="540" t="s">
        <v>557</v>
      </c>
      <c r="BL1" s="540" t="s">
        <v>558</v>
      </c>
      <c r="BM1" s="540" t="s">
        <v>559</v>
      </c>
      <c r="BN1" s="540" t="s">
        <v>560</v>
      </c>
      <c r="BO1" s="539" t="s">
        <v>271</v>
      </c>
      <c r="BP1" s="537" t="s">
        <v>186</v>
      </c>
      <c r="BQ1" s="539" t="s">
        <v>868</v>
      </c>
      <c r="BR1" s="539" t="s">
        <v>867</v>
      </c>
      <c r="BS1" s="539" t="s">
        <v>866</v>
      </c>
      <c r="BT1" s="539" t="s">
        <v>865</v>
      </c>
      <c r="BU1" s="541" t="s">
        <v>142</v>
      </c>
      <c r="BV1" s="542" t="s">
        <v>272</v>
      </c>
      <c r="BW1" s="543" t="s">
        <v>401</v>
      </c>
      <c r="BX1" s="542" t="s">
        <v>250</v>
      </c>
      <c r="BY1" s="542" t="s">
        <v>334</v>
      </c>
      <c r="BZ1" s="543" t="s">
        <v>614</v>
      </c>
      <c r="CA1" s="543" t="s">
        <v>381</v>
      </c>
      <c r="CB1" s="543" t="s">
        <v>615</v>
      </c>
      <c r="CC1" s="675" t="s">
        <v>888</v>
      </c>
      <c r="CD1" s="544" t="s">
        <v>750</v>
      </c>
      <c r="CE1" s="545" t="s">
        <v>304</v>
      </c>
      <c r="CF1" s="546" t="s">
        <v>736</v>
      </c>
      <c r="CG1" s="546" t="s">
        <v>735</v>
      </c>
      <c r="CH1" s="547" t="s">
        <v>365</v>
      </c>
      <c r="CI1" s="547" t="s">
        <v>885</v>
      </c>
      <c r="CJ1" s="544" t="s">
        <v>364</v>
      </c>
      <c r="CK1" s="544" t="s">
        <v>446</v>
      </c>
      <c r="CL1" s="544" t="s">
        <v>886</v>
      </c>
      <c r="CM1" s="544" t="s">
        <v>887</v>
      </c>
      <c r="CN1" s="544" t="s">
        <v>358</v>
      </c>
      <c r="CO1" s="544" t="s">
        <v>366</v>
      </c>
      <c r="CP1" s="544" t="s">
        <v>359</v>
      </c>
      <c r="CQ1" s="707" t="s">
        <v>890</v>
      </c>
      <c r="CR1" s="705" t="s">
        <v>305</v>
      </c>
      <c r="CS1" s="546" t="s">
        <v>382</v>
      </c>
      <c r="CT1" s="544" t="s">
        <v>325</v>
      </c>
      <c r="CU1" s="544" t="s">
        <v>581</v>
      </c>
      <c r="CV1" s="700" t="s">
        <v>306</v>
      </c>
      <c r="CW1" s="705" t="s">
        <v>466</v>
      </c>
      <c r="CX1" s="546" t="s">
        <v>606</v>
      </c>
      <c r="CY1" s="544" t="s">
        <v>462</v>
      </c>
      <c r="CZ1" s="544" t="s">
        <v>353</v>
      </c>
      <c r="DA1" s="544" t="s">
        <v>636</v>
      </c>
      <c r="DB1" s="544" t="s">
        <v>333</v>
      </c>
      <c r="DC1" s="544" t="s">
        <v>341</v>
      </c>
      <c r="DD1" s="544" t="s">
        <v>357</v>
      </c>
      <c r="DE1" s="544" t="s">
        <v>324</v>
      </c>
      <c r="DF1" s="544" t="s">
        <v>307</v>
      </c>
      <c r="DG1" s="548" t="s">
        <v>308</v>
      </c>
      <c r="DH1" s="548" t="s">
        <v>309</v>
      </c>
      <c r="DI1" s="548" t="s">
        <v>310</v>
      </c>
      <c r="DJ1" s="548" t="s">
        <v>311</v>
      </c>
      <c r="DK1" s="548" t="s">
        <v>326</v>
      </c>
      <c r="DL1" s="548" t="s">
        <v>403</v>
      </c>
      <c r="DM1" s="548" t="s">
        <v>680</v>
      </c>
      <c r="DN1" s="549" t="s">
        <v>896</v>
      </c>
      <c r="DO1" s="548" t="s">
        <v>566</v>
      </c>
      <c r="DP1" s="548" t="s">
        <v>672</v>
      </c>
      <c r="DQ1" s="548" t="s">
        <v>337</v>
      </c>
      <c r="DR1" s="548" t="s">
        <v>417</v>
      </c>
      <c r="DS1" s="582" t="s">
        <v>752</v>
      </c>
      <c r="DT1" s="631" t="s">
        <v>763</v>
      </c>
      <c r="DU1" s="632" t="s">
        <v>764</v>
      </c>
      <c r="DV1" s="584" t="s">
        <v>765</v>
      </c>
      <c r="DW1" s="583" t="s">
        <v>753</v>
      </c>
      <c r="DX1" s="632" t="s">
        <v>754</v>
      </c>
      <c r="DY1" s="582" t="s">
        <v>755</v>
      </c>
      <c r="DZ1" s="631" t="s">
        <v>756</v>
      </c>
      <c r="EA1" s="582" t="s">
        <v>757</v>
      </c>
      <c r="EB1" s="582" t="s">
        <v>758</v>
      </c>
      <c r="EC1" s="583" t="s">
        <v>766</v>
      </c>
      <c r="ED1" s="582" t="s">
        <v>767</v>
      </c>
      <c r="EE1" s="582" t="s">
        <v>758</v>
      </c>
      <c r="EF1" s="635" t="s">
        <v>768</v>
      </c>
      <c r="EG1" s="636" t="s">
        <v>769</v>
      </c>
      <c r="EH1" s="582" t="s">
        <v>758</v>
      </c>
      <c r="EI1" s="632" t="s">
        <v>9</v>
      </c>
      <c r="EJ1" s="638" t="s">
        <v>770</v>
      </c>
      <c r="EK1" s="637" t="s">
        <v>771</v>
      </c>
      <c r="EL1" s="585" t="s">
        <v>758</v>
      </c>
      <c r="EM1" s="638" t="s">
        <v>772</v>
      </c>
      <c r="EN1" s="637" t="s">
        <v>773</v>
      </c>
      <c r="EO1" s="585" t="s">
        <v>774</v>
      </c>
      <c r="EP1" s="638" t="s">
        <v>775</v>
      </c>
      <c r="EQ1" s="637" t="s">
        <v>776</v>
      </c>
      <c r="ER1" s="585" t="s">
        <v>758</v>
      </c>
      <c r="ES1" s="638" t="s">
        <v>777</v>
      </c>
      <c r="ET1" s="637" t="s">
        <v>778</v>
      </c>
      <c r="EU1" s="585" t="s">
        <v>758</v>
      </c>
      <c r="EV1" s="638" t="s">
        <v>779</v>
      </c>
      <c r="EW1" s="637" t="s">
        <v>780</v>
      </c>
      <c r="EX1" s="585" t="s">
        <v>758</v>
      </c>
      <c r="EY1" s="638" t="s">
        <v>781</v>
      </c>
      <c r="EZ1" s="637" t="s">
        <v>782</v>
      </c>
      <c r="FA1" s="585" t="s">
        <v>758</v>
      </c>
      <c r="FB1" s="638" t="s">
        <v>783</v>
      </c>
      <c r="FC1" s="637" t="s">
        <v>784</v>
      </c>
      <c r="FD1" s="585" t="s">
        <v>758</v>
      </c>
      <c r="FE1" s="638" t="s">
        <v>785</v>
      </c>
      <c r="FF1" s="637" t="s">
        <v>786</v>
      </c>
      <c r="FG1" s="585" t="s">
        <v>758</v>
      </c>
      <c r="FH1" s="638" t="s">
        <v>787</v>
      </c>
      <c r="FI1" s="637" t="s">
        <v>788</v>
      </c>
      <c r="FJ1" s="585" t="s">
        <v>758</v>
      </c>
      <c r="FK1" s="637" t="s">
        <v>789</v>
      </c>
      <c r="FL1" s="637" t="s">
        <v>790</v>
      </c>
      <c r="FM1" s="637" t="s">
        <v>791</v>
      </c>
      <c r="FN1" s="637" t="s">
        <v>792</v>
      </c>
      <c r="FO1" s="637" t="s">
        <v>793</v>
      </c>
      <c r="FP1" s="585" t="s">
        <v>794</v>
      </c>
      <c r="FQ1" s="637" t="s">
        <v>795</v>
      </c>
      <c r="FR1" s="637" t="s">
        <v>796</v>
      </c>
      <c r="FS1" s="664" t="s">
        <v>797</v>
      </c>
      <c r="FT1" s="664" t="s">
        <v>798</v>
      </c>
      <c r="FU1" s="664" t="s">
        <v>608</v>
      </c>
      <c r="FV1" s="664" t="s">
        <v>884</v>
      </c>
      <c r="FW1" s="586" t="s">
        <v>799</v>
      </c>
      <c r="FX1" s="586" t="s">
        <v>892</v>
      </c>
      <c r="FY1" s="587" t="s">
        <v>800</v>
      </c>
      <c r="FZ1" s="587" t="s">
        <v>443</v>
      </c>
      <c r="GA1" s="587" t="s">
        <v>801</v>
      </c>
      <c r="GB1" s="587" t="s">
        <v>802</v>
      </c>
      <c r="GC1" s="550" t="s">
        <v>134</v>
      </c>
      <c r="GD1" s="722" t="s">
        <v>891</v>
      </c>
      <c r="GE1" s="551" t="s">
        <v>100</v>
      </c>
      <c r="GF1" s="552" t="s">
        <v>195</v>
      </c>
      <c r="GG1" s="553" t="s">
        <v>17</v>
      </c>
      <c r="GH1" s="554" t="s">
        <v>74</v>
      </c>
      <c r="GI1" s="554" t="s">
        <v>135</v>
      </c>
      <c r="GJ1" s="555" t="s">
        <v>101</v>
      </c>
      <c r="GK1" s="556" t="s">
        <v>19</v>
      </c>
      <c r="GL1" s="557" t="s">
        <v>20</v>
      </c>
      <c r="GM1" s="556" t="s">
        <v>21</v>
      </c>
      <c r="GN1" s="558" t="s">
        <v>283</v>
      </c>
      <c r="GO1" s="555" t="s">
        <v>749</v>
      </c>
      <c r="GP1" s="556" t="s">
        <v>102</v>
      </c>
      <c r="GQ1" s="559" t="s">
        <v>136</v>
      </c>
      <c r="GR1" s="557" t="s">
        <v>18</v>
      </c>
      <c r="GS1" s="551" t="s">
        <v>103</v>
      </c>
      <c r="GT1" s="552" t="s">
        <v>103</v>
      </c>
      <c r="GU1" s="552" t="s">
        <v>22</v>
      </c>
      <c r="GV1" s="552" t="s">
        <v>23</v>
      </c>
      <c r="GW1" s="553" t="s">
        <v>24</v>
      </c>
      <c r="GX1" s="559" t="s">
        <v>137</v>
      </c>
      <c r="GY1" s="552" t="s">
        <v>163</v>
      </c>
      <c r="GZ1" s="555" t="s">
        <v>104</v>
      </c>
      <c r="HA1" s="556" t="s">
        <v>213</v>
      </c>
      <c r="HB1" s="560" t="s">
        <v>210</v>
      </c>
      <c r="HC1" s="556" t="s">
        <v>176</v>
      </c>
      <c r="HD1" s="551" t="s">
        <v>579</v>
      </c>
      <c r="HE1" s="556" t="s">
        <v>164</v>
      </c>
      <c r="HF1" s="557" t="s">
        <v>25</v>
      </c>
      <c r="HG1" s="559" t="s">
        <v>105</v>
      </c>
      <c r="HH1" s="561" t="s">
        <v>232</v>
      </c>
      <c r="HI1" s="557" t="s">
        <v>26</v>
      </c>
      <c r="HJ1" s="562" t="s">
        <v>192</v>
      </c>
      <c r="HK1" s="562" t="s">
        <v>193</v>
      </c>
      <c r="HL1" s="563" t="s">
        <v>160</v>
      </c>
      <c r="HM1" s="563" t="s">
        <v>127</v>
      </c>
      <c r="HN1" s="559" t="s">
        <v>128</v>
      </c>
      <c r="HO1" s="563" t="s">
        <v>138</v>
      </c>
      <c r="HP1" s="559" t="s">
        <v>140</v>
      </c>
      <c r="HQ1" s="561" t="s">
        <v>194</v>
      </c>
      <c r="HR1" s="563" t="s">
        <v>178</v>
      </c>
      <c r="HS1" s="563" t="s">
        <v>139</v>
      </c>
      <c r="HT1" s="556" t="s">
        <v>145</v>
      </c>
      <c r="HU1" s="556" t="s">
        <v>175</v>
      </c>
      <c r="HV1" s="564" t="s">
        <v>437</v>
      </c>
      <c r="HW1" s="564" t="s">
        <v>474</v>
      </c>
      <c r="HX1" s="564" t="s">
        <v>438</v>
      </c>
      <c r="HY1" s="565">
        <v>0.1</v>
      </c>
      <c r="HZ1" s="564" t="s">
        <v>728</v>
      </c>
      <c r="IA1" s="566">
        <v>0.05</v>
      </c>
      <c r="IB1" s="564" t="s">
        <v>439</v>
      </c>
      <c r="IC1" s="567">
        <v>0.05</v>
      </c>
      <c r="ID1" s="564" t="s">
        <v>440</v>
      </c>
      <c r="IE1" s="568">
        <v>0.1</v>
      </c>
      <c r="IF1" s="564" t="s">
        <v>441</v>
      </c>
      <c r="IG1" s="569">
        <v>0.1</v>
      </c>
      <c r="IH1" s="564" t="s">
        <v>442</v>
      </c>
      <c r="II1" s="570">
        <v>0.1</v>
      </c>
      <c r="IJ1" s="564" t="s">
        <v>759</v>
      </c>
      <c r="IK1" s="571">
        <v>0.05</v>
      </c>
      <c r="IL1" s="564" t="s">
        <v>561</v>
      </c>
      <c r="IM1" s="572">
        <v>0.05</v>
      </c>
      <c r="IN1" s="564" t="s">
        <v>562</v>
      </c>
      <c r="IO1" s="573">
        <v>0.1</v>
      </c>
      <c r="IP1" s="564" t="s">
        <v>567</v>
      </c>
      <c r="IQ1" s="574">
        <v>0.05</v>
      </c>
      <c r="IR1" s="564" t="s">
        <v>568</v>
      </c>
      <c r="IS1" s="575">
        <v>0.05</v>
      </c>
      <c r="IT1" s="564" t="s">
        <v>610</v>
      </c>
      <c r="IU1" s="576">
        <v>0.05</v>
      </c>
      <c r="IV1" s="564" t="s">
        <v>638</v>
      </c>
      <c r="IW1" s="577">
        <v>0.05</v>
      </c>
      <c r="IX1" s="564" t="s">
        <v>655</v>
      </c>
      <c r="IY1" s="578">
        <v>0.05</v>
      </c>
      <c r="IZ1" s="568" t="s">
        <v>760</v>
      </c>
      <c r="JA1" s="579">
        <v>0.03</v>
      </c>
      <c r="JB1" s="568" t="s">
        <v>761</v>
      </c>
      <c r="JC1" s="580">
        <v>0.02</v>
      </c>
      <c r="JD1" s="568" t="s">
        <v>762</v>
      </c>
      <c r="JE1" s="581">
        <v>0.05</v>
      </c>
    </row>
    <row r="2" spans="1:265" ht="24.95" customHeight="1">
      <c r="A2" s="6" t="s">
        <v>158</v>
      </c>
      <c r="B2" s="7" t="s">
        <v>82</v>
      </c>
      <c r="C2" s="7" t="s">
        <v>119</v>
      </c>
      <c r="D2" s="7">
        <v>2010</v>
      </c>
      <c r="E2" s="7" t="s">
        <v>159</v>
      </c>
      <c r="F2" s="7" t="s">
        <v>30</v>
      </c>
      <c r="G2" s="7" t="s">
        <v>461</v>
      </c>
      <c r="H2" s="7" t="s">
        <v>265</v>
      </c>
      <c r="I2" s="56" t="s">
        <v>125</v>
      </c>
      <c r="J2" s="56"/>
      <c r="K2" s="435" t="s">
        <v>725</v>
      </c>
      <c r="L2" s="460"/>
      <c r="M2" s="460"/>
      <c r="N2" s="460"/>
      <c r="O2" s="219">
        <v>9556</v>
      </c>
      <c r="P2" s="219">
        <v>407560.68000000005</v>
      </c>
      <c r="Q2" s="219">
        <v>222180</v>
      </c>
      <c r="R2" s="219">
        <f>P2/AD2</f>
        <v>15094.840000000002</v>
      </c>
      <c r="S2" s="219">
        <f>P2/O2</f>
        <v>42.649715362076186</v>
      </c>
      <c r="T2" s="219">
        <f>Q2/O2</f>
        <v>23.250313938886563</v>
      </c>
      <c r="U2" s="219">
        <f>Q2/AJ2</f>
        <v>100.51347010789659</v>
      </c>
      <c r="V2" s="219">
        <f>Q2/AD2</f>
        <v>8228.8888888888887</v>
      </c>
      <c r="W2" s="219">
        <f>O2/AD2</f>
        <v>353.92592592592592</v>
      </c>
      <c r="X2" s="220"/>
      <c r="Y2" s="221">
        <f>AJ2/O2</f>
        <v>0.23131540393470068</v>
      </c>
      <c r="Z2" s="220" t="s">
        <v>215</v>
      </c>
      <c r="AA2" s="222"/>
      <c r="AB2" s="222"/>
      <c r="AC2" s="7" t="s">
        <v>16</v>
      </c>
      <c r="AD2" s="345">
        <f t="shared" ref="AD2:AD33" si="0">SUM(AE2:AH2)</f>
        <v>27</v>
      </c>
      <c r="AE2" s="463"/>
      <c r="AF2" s="464">
        <v>27</v>
      </c>
      <c r="AG2" s="717"/>
      <c r="AH2" s="717"/>
      <c r="AI2" s="9">
        <v>2110.92</v>
      </c>
      <c r="AJ2" s="85">
        <v>2210.4499999999998</v>
      </c>
      <c r="AK2" s="9">
        <f t="shared" ref="AK2:AK43" si="1">AJ2/AD2</f>
        <v>81.868518518518513</v>
      </c>
      <c r="AL2" s="81"/>
      <c r="AM2" s="81">
        <v>0.22</v>
      </c>
      <c r="AN2" s="81">
        <v>0.3</v>
      </c>
      <c r="AO2" s="81">
        <v>0.3</v>
      </c>
      <c r="AP2" s="81">
        <v>0.19</v>
      </c>
      <c r="AQ2" s="9">
        <v>1400</v>
      </c>
      <c r="AR2" s="79"/>
      <c r="AS2" s="81">
        <f>AR2/O2</f>
        <v>0</v>
      </c>
      <c r="AT2" s="60">
        <v>3</v>
      </c>
      <c r="AU2" s="59" t="s">
        <v>621</v>
      </c>
      <c r="AV2" s="464" t="s">
        <v>126</v>
      </c>
      <c r="AW2" s="120"/>
      <c r="AX2" s="196">
        <v>40816</v>
      </c>
      <c r="AY2" s="203" t="s">
        <v>177</v>
      </c>
      <c r="AZ2" s="203" t="s">
        <v>177</v>
      </c>
      <c r="BA2" s="468"/>
      <c r="BB2" s="216">
        <v>40491</v>
      </c>
      <c r="BC2" s="102"/>
      <c r="BD2" s="102"/>
      <c r="BE2" s="216"/>
      <c r="BF2" s="102"/>
      <c r="BG2" s="37"/>
      <c r="BH2" s="473"/>
      <c r="BI2" s="116"/>
      <c r="BJ2" s="116"/>
      <c r="BK2" s="200"/>
      <c r="BL2" s="200">
        <f t="shared" ref="BL2:BL49" si="2">DATE(YEAR(BK2),MONTH(BK2)+24,DAY(BK2))</f>
        <v>731</v>
      </c>
      <c r="BM2" s="200">
        <f t="shared" ref="BM2:BM49" si="3">DATE(YEAR(BK2),MONTH(BK2)+36,DAY(BK2))</f>
        <v>1096</v>
      </c>
      <c r="BN2" s="200"/>
      <c r="BO2" s="116"/>
      <c r="BP2" s="37"/>
      <c r="BQ2" s="116"/>
      <c r="BR2" s="106"/>
      <c r="BS2" s="106"/>
      <c r="BT2" s="106"/>
      <c r="BU2" s="718"/>
      <c r="BV2" s="333" t="s">
        <v>177</v>
      </c>
      <c r="BW2" s="450"/>
      <c r="BX2" s="660" t="s">
        <v>177</v>
      </c>
      <c r="BY2" s="661" t="s">
        <v>177</v>
      </c>
      <c r="BZ2" s="450"/>
      <c r="CA2" s="450"/>
      <c r="CB2" s="450" t="s">
        <v>177</v>
      </c>
      <c r="CC2" s="682"/>
      <c r="CD2" s="511"/>
      <c r="CE2" s="381">
        <v>40721</v>
      </c>
      <c r="CF2" s="374">
        <v>2011</v>
      </c>
      <c r="CG2" s="495">
        <f t="shared" ref="CG2:CG33" si="4">(DATEDIF(BB2,CE2,"d"))/30</f>
        <v>7.666666666666667</v>
      </c>
      <c r="CH2" s="135">
        <v>15</v>
      </c>
      <c r="CI2" s="135">
        <f t="shared" ref="CI2:CI33" si="5">CH2+1</f>
        <v>16</v>
      </c>
      <c r="CJ2" s="135">
        <f t="shared" ref="CJ2:CJ33" si="6">DATEDIF(CE2,CR2,"M")</f>
        <v>24</v>
      </c>
      <c r="CK2" s="135">
        <f t="shared" ref="CK2:CK33" si="7">DATEDIF(CE2,CW2,"M")</f>
        <v>24</v>
      </c>
      <c r="CL2" s="135">
        <f t="shared" ref="CL2:CL33" si="8">DATEDIF(CQ2,CR2,"M")</f>
        <v>9</v>
      </c>
      <c r="CM2" s="135">
        <f t="shared" ref="CM2:CM33" si="9">CK2-CI2</f>
        <v>8</v>
      </c>
      <c r="CN2" s="245">
        <v>11101</v>
      </c>
      <c r="CO2" s="245">
        <f t="shared" ref="CO2:CO22" si="10">CN2*(CJ2-CH2)</f>
        <v>99909</v>
      </c>
      <c r="CP2" s="128" t="s">
        <v>133</v>
      </c>
      <c r="CQ2" s="694">
        <f t="shared" ref="CQ2:CQ33" si="11">DATE(YEAR(CE2),MONTH(CE2)+CH2,DAY(CE2))</f>
        <v>41179</v>
      </c>
      <c r="CR2" s="390">
        <v>41464</v>
      </c>
      <c r="CS2" s="385"/>
      <c r="CT2" s="119">
        <v>41606</v>
      </c>
      <c r="CU2" s="119"/>
      <c r="CV2" s="673">
        <v>41481</v>
      </c>
      <c r="CW2" s="390">
        <v>41481</v>
      </c>
      <c r="CX2" s="515">
        <v>2013</v>
      </c>
      <c r="CY2" s="136"/>
      <c r="CZ2" s="128"/>
      <c r="DA2" s="128"/>
      <c r="DB2" s="128"/>
      <c r="DC2" s="128"/>
      <c r="DD2" s="128"/>
      <c r="DE2" s="120"/>
      <c r="DF2" s="119">
        <f t="shared" ref="DF2:DF12" si="12">DATE(YEAR(CR2)+1,MONTH(CR2),DAY(CR2))</f>
        <v>41829</v>
      </c>
      <c r="DG2" s="119" t="s">
        <v>133</v>
      </c>
      <c r="DH2" s="119"/>
      <c r="DI2" s="119">
        <v>41926</v>
      </c>
      <c r="DJ2" s="119" t="s">
        <v>312</v>
      </c>
      <c r="DK2" s="119" t="s">
        <v>177</v>
      </c>
      <c r="DL2" s="119"/>
      <c r="DM2" s="119" t="s">
        <v>177</v>
      </c>
      <c r="DN2" s="119"/>
      <c r="DO2" s="119"/>
      <c r="DP2" s="119"/>
      <c r="DQ2" s="206">
        <v>42114</v>
      </c>
      <c r="DR2" s="206">
        <v>42424</v>
      </c>
      <c r="DS2" s="128"/>
      <c r="DT2" s="120"/>
      <c r="DU2" s="120"/>
      <c r="DV2" s="589" t="str">
        <f t="shared" ref="DV2:DV33" si="13">IF(AND(DT2&gt;0,DU2&gt;0),DU2-DT2,"0")</f>
        <v>0</v>
      </c>
      <c r="DW2" s="128"/>
      <c r="DX2" s="128"/>
      <c r="DY2" s="589" t="str">
        <f t="shared" ref="DY2:DY33" si="14">IF(AND(DW2&gt;0,DX2&gt;0),DX2-DW2,"0")</f>
        <v>0</v>
      </c>
      <c r="DZ2" s="135"/>
      <c r="EA2" s="128"/>
      <c r="EB2" s="589" t="str">
        <f t="shared" ref="EB2:EB33" si="15">IF(AND(DZ2&gt;0,EA2&gt;0),EA2-DZ2,"0")</f>
        <v>0</v>
      </c>
      <c r="EC2" s="135"/>
      <c r="ED2" s="128"/>
      <c r="EE2" s="589" t="str">
        <f t="shared" ref="EE2:EE33" si="16">IF(AND(EC2&gt;0,ED2&gt;0),ED2-EC2,"0")</f>
        <v>0</v>
      </c>
      <c r="EF2" s="135"/>
      <c r="EG2" s="646"/>
      <c r="EH2" s="589" t="str">
        <f t="shared" ref="EH2:EH33" si="17">IF(AND(EF2&gt;0,EG2&gt;0),EG2-EF2,"0")</f>
        <v>0</v>
      </c>
      <c r="EI2" s="245"/>
      <c r="EJ2" s="600"/>
      <c r="EK2" s="595"/>
      <c r="EL2" s="596" t="str">
        <f t="shared" ref="EL2:EL33" si="18">IF(AND(EJ2&gt;0,EK2&gt;0),EK2-EJ2,"0")</f>
        <v>0</v>
      </c>
      <c r="EM2" s="600"/>
      <c r="EN2" s="595"/>
      <c r="EO2" s="596" t="str">
        <f t="shared" ref="EO2:EO33" si="19">IF(AND(EM2&gt;0,EN2&gt;0),EN2-EM2,"0")</f>
        <v>0</v>
      </c>
      <c r="EP2" s="600"/>
      <c r="EQ2" s="595"/>
      <c r="ER2" s="596" t="str">
        <f t="shared" ref="ER2:ER33" si="20">IF(AND(EP2&gt;0,EQ2&gt;0),EQ2-EP2,"0")</f>
        <v>0</v>
      </c>
      <c r="ES2" s="603"/>
      <c r="ET2" s="622"/>
      <c r="EU2" s="597" t="str">
        <f t="shared" ref="EU2:EU33" si="21">IF(AND(ES2&gt;0,ET2&gt;0),ET2-ES2,"0")</f>
        <v>0</v>
      </c>
      <c r="EV2" s="598"/>
      <c r="EW2" s="599"/>
      <c r="EX2" s="596" t="str">
        <f t="shared" ref="EX2:EX33" si="22">IF(AND(EV2&gt;0,EW2&gt;0),EW2-EV2,"0")</f>
        <v>0</v>
      </c>
      <c r="EY2" s="595"/>
      <c r="EZ2" s="600"/>
      <c r="FA2" s="596" t="str">
        <f t="shared" ref="FA2:FA33" si="23">IF(AND(EY2&gt;0,EZ2&gt;0),EZ2-EY2,"0")</f>
        <v>0</v>
      </c>
      <c r="FB2" s="604"/>
      <c r="FC2" s="604"/>
      <c r="FD2" s="596" t="str">
        <f t="shared" ref="FD2:FD33" si="24">IF(AND(FB2&gt;0,FC2&gt;0),FC2-FB2,"0")</f>
        <v>0</v>
      </c>
      <c r="FE2" s="604"/>
      <c r="FF2" s="600"/>
      <c r="FG2" s="596" t="str">
        <f t="shared" ref="FG2:FG33" si="25">IF(AND(FE2&gt;0,FF2&gt;0),FF2-FE2,"0")</f>
        <v>0</v>
      </c>
      <c r="FH2" s="602"/>
      <c r="FI2" s="602"/>
      <c r="FJ2" s="596" t="str">
        <f t="shared" ref="FJ2:FJ33" si="26">IF(AND(FH2&gt;0,FI2&gt;0),FI2-FH2,"0")</f>
        <v>0</v>
      </c>
      <c r="FK2" s="602"/>
      <c r="FL2" s="602"/>
      <c r="FM2" s="602"/>
      <c r="FN2" s="602"/>
      <c r="FO2" s="600"/>
      <c r="FP2" s="598">
        <f t="shared" ref="FP2:FP49" si="27">(DATEDIF(EN2,FN2,"d"))/30</f>
        <v>0</v>
      </c>
      <c r="FQ2" s="602"/>
      <c r="FR2" s="600">
        <f>CW2</f>
        <v>41481</v>
      </c>
      <c r="FS2" s="623"/>
      <c r="FT2" s="623"/>
      <c r="FU2" s="627"/>
      <c r="FV2" s="627"/>
      <c r="FW2" s="628">
        <f t="shared" ref="FW2:FW33" si="28">(DV2+DY2+EB2+EE2+EH2+EL2+EO2)/30</f>
        <v>0</v>
      </c>
      <c r="FX2" s="628">
        <f t="shared" ref="FX2:FX48" si="29">(FR2-FQ2)/30</f>
        <v>1382.7</v>
      </c>
      <c r="FY2" s="624"/>
      <c r="FZ2" s="641" t="s">
        <v>846</v>
      </c>
      <c r="GA2" s="624"/>
      <c r="GB2" s="624"/>
      <c r="GC2" s="476"/>
      <c r="GD2" s="447"/>
      <c r="GE2" s="10">
        <v>3574937</v>
      </c>
      <c r="GF2" s="477">
        <f>GP2+GT2+HA2+HT2+GY2+HE2</f>
        <v>3574937</v>
      </c>
      <c r="GG2" s="12">
        <f t="shared" ref="GG2:GG43" si="30">GF2-GE2</f>
        <v>0</v>
      </c>
      <c r="GH2" s="12">
        <f t="shared" ref="GH2:GH43" si="31">GF2/AI2</f>
        <v>1693.5445208724157</v>
      </c>
      <c r="GI2" s="12">
        <f t="shared" ref="GI2:GI43" si="32">GF2/AD2</f>
        <v>132405.07407407407</v>
      </c>
      <c r="GJ2" s="503"/>
      <c r="GK2" s="11">
        <v>0</v>
      </c>
      <c r="GL2" s="12">
        <f t="shared" ref="GL2:GL33" si="33">GK2-GJ2</f>
        <v>0</v>
      </c>
      <c r="GM2" s="137">
        <f t="shared" ref="GM2:GM34" si="34">GJ2*1.021/GE2</f>
        <v>0</v>
      </c>
      <c r="GN2" s="138"/>
      <c r="GO2" s="479">
        <v>0</v>
      </c>
      <c r="GP2" s="15">
        <v>0</v>
      </c>
      <c r="GQ2" s="23">
        <f t="shared" ref="GQ2:GQ43" si="35">GP2/AD2</f>
        <v>0</v>
      </c>
      <c r="GR2" s="38">
        <f t="shared" ref="GR2:GR43" si="36">GP2-GO2</f>
        <v>0</v>
      </c>
      <c r="GS2" s="10">
        <v>2306000</v>
      </c>
      <c r="GT2" s="11">
        <f t="shared" ref="GT2:GT34" si="37">+GU2+GV2</f>
        <v>2306000</v>
      </c>
      <c r="GU2" s="13">
        <v>511146</v>
      </c>
      <c r="GV2" s="13">
        <v>1794854</v>
      </c>
      <c r="GW2" s="38">
        <f t="shared" ref="GW2:GW43" si="38">GT2-GS2</f>
        <v>0</v>
      </c>
      <c r="GX2" s="23">
        <f t="shared" ref="GX2:GX43" si="39">GT2/AD2</f>
        <v>85407.407407407401</v>
      </c>
      <c r="GY2" s="11"/>
      <c r="GZ2" s="479">
        <f>HA2+HB2</f>
        <v>1362028</v>
      </c>
      <c r="HA2" s="15">
        <v>1267528</v>
      </c>
      <c r="HB2" s="69">
        <v>94500</v>
      </c>
      <c r="HC2" s="41">
        <f t="shared" ref="HC2:HC43" si="40">HA2/GF2</f>
        <v>0.35455953489530023</v>
      </c>
      <c r="HD2" s="329"/>
      <c r="HE2" s="15"/>
      <c r="HF2" s="24">
        <f>HA2-GZ2+HB2</f>
        <v>0</v>
      </c>
      <c r="HG2" s="23">
        <f t="shared" ref="HG2:HG43" si="41">HA2/AD2</f>
        <v>46945.481481481482</v>
      </c>
      <c r="HH2" s="52"/>
      <c r="HI2" s="24">
        <f t="shared" ref="HI2:HI34" si="42">HF2/AD2</f>
        <v>0</v>
      </c>
      <c r="HJ2" s="51"/>
      <c r="HK2" s="51"/>
      <c r="HL2" s="40">
        <v>1734704.6581725003</v>
      </c>
      <c r="HM2" s="40">
        <v>660000</v>
      </c>
      <c r="HN2" s="23">
        <f t="shared" ref="HN2:HN34" si="43">(GP2+HA2+HM2)/AD2</f>
        <v>71389.925925925927</v>
      </c>
      <c r="HO2" s="40">
        <v>767026.95965000009</v>
      </c>
      <c r="HP2" s="23">
        <f t="shared" ref="HP2:HP34" si="44">(GP2+HA2+HM2+HO2)/AD2</f>
        <v>99798.331838888887</v>
      </c>
      <c r="HQ2" s="53">
        <f t="shared" ref="HQ2:HQ49" si="45">(GP2+HA2+HM2+HO2)/(HL2+GF2-HR2)</f>
        <v>0.52964624417787332</v>
      </c>
      <c r="HR2" s="40">
        <v>222180</v>
      </c>
      <c r="HS2" s="40"/>
      <c r="HT2" s="11">
        <v>1409</v>
      </c>
      <c r="HU2" s="42">
        <f t="shared" ref="HU2:HU33" si="46">GF2+HL2</f>
        <v>5309641.6581725003</v>
      </c>
      <c r="HV2" s="245"/>
      <c r="HW2" s="245">
        <f t="shared" ref="HW2:HW33" si="47">HY2+IA2+IC2+IE2+IG2+II2+IK2+IM2+IO2+IQ2+IS2+IU2+IW2+IY2+JA2+JC2+JE2</f>
        <v>0</v>
      </c>
      <c r="HX2" s="119"/>
      <c r="HY2" s="245"/>
      <c r="HZ2" s="245"/>
      <c r="IA2" s="119"/>
      <c r="IB2" s="119"/>
      <c r="IC2" s="245"/>
      <c r="ID2" s="119"/>
      <c r="IE2" s="245"/>
      <c r="IF2" s="119"/>
      <c r="IG2" s="245"/>
      <c r="IH2" s="120"/>
      <c r="II2" s="350"/>
      <c r="IJ2" s="341"/>
      <c r="IK2" s="341"/>
      <c r="IL2" s="128"/>
      <c r="IM2" s="245"/>
      <c r="IN2" s="128"/>
      <c r="IO2" s="245"/>
      <c r="IP2" s="351"/>
      <c r="IQ2" s="351"/>
      <c r="IR2" s="351"/>
      <c r="IS2" s="351"/>
      <c r="IT2" s="128"/>
      <c r="IU2" s="245"/>
      <c r="IV2" s="289"/>
      <c r="IW2" s="289"/>
      <c r="IX2" s="289"/>
      <c r="IY2" s="289"/>
      <c r="IZ2" s="245"/>
      <c r="JA2" s="128"/>
      <c r="JB2" s="120"/>
      <c r="JC2" s="128"/>
      <c r="JD2" s="128"/>
      <c r="JE2" s="120"/>
    </row>
    <row r="3" spans="1:265" ht="54.75" customHeight="1">
      <c r="A3" s="6" t="s">
        <v>157</v>
      </c>
      <c r="B3" s="7" t="s">
        <v>82</v>
      </c>
      <c r="C3" s="7" t="s">
        <v>119</v>
      </c>
      <c r="D3" s="7">
        <v>2010</v>
      </c>
      <c r="E3" s="7" t="s">
        <v>161</v>
      </c>
      <c r="F3" s="56" t="s">
        <v>37</v>
      </c>
      <c r="G3" s="7" t="s">
        <v>188</v>
      </c>
      <c r="H3" s="56" t="s">
        <v>265</v>
      </c>
      <c r="I3" s="56"/>
      <c r="J3" s="56"/>
      <c r="K3" s="435" t="s">
        <v>622</v>
      </c>
      <c r="L3" s="330"/>
      <c r="M3" s="330"/>
      <c r="N3" s="330"/>
      <c r="O3" s="219">
        <v>9462</v>
      </c>
      <c r="P3" s="219">
        <v>874165.66</v>
      </c>
      <c r="Q3" s="219">
        <v>262890</v>
      </c>
      <c r="R3" s="219">
        <f>P3/AD3</f>
        <v>29138.855333333333</v>
      </c>
      <c r="S3" s="219">
        <f>P3/O3</f>
        <v>92.386985838089203</v>
      </c>
      <c r="T3" s="219">
        <f>Q3/O3</f>
        <v>27.783766645529486</v>
      </c>
      <c r="U3" s="219">
        <f>Q3/AJ3</f>
        <v>117.46438848277958</v>
      </c>
      <c r="V3" s="219">
        <f>Q3/AD3</f>
        <v>8763</v>
      </c>
      <c r="W3" s="219">
        <f>O3/AD3</f>
        <v>315.39999999999998</v>
      </c>
      <c r="X3" s="220">
        <v>379.2</v>
      </c>
      <c r="Y3" s="221">
        <f>AJ3/O3</f>
        <v>0.23652927499471571</v>
      </c>
      <c r="Z3" s="220" t="s">
        <v>215</v>
      </c>
      <c r="AA3" s="220"/>
      <c r="AB3" s="220"/>
      <c r="AC3" s="56" t="s">
        <v>16</v>
      </c>
      <c r="AD3" s="345">
        <f t="shared" si="0"/>
        <v>30</v>
      </c>
      <c r="AE3" s="443"/>
      <c r="AF3" s="62">
        <v>30</v>
      </c>
      <c r="AG3" s="62"/>
      <c r="AH3" s="62"/>
      <c r="AI3" s="60">
        <v>2238.04</v>
      </c>
      <c r="AJ3" s="444">
        <v>2238.04</v>
      </c>
      <c r="AK3" s="60">
        <f t="shared" si="1"/>
        <v>74.601333333333329</v>
      </c>
      <c r="AL3" s="81"/>
      <c r="AM3" s="81">
        <v>0.17</v>
      </c>
      <c r="AN3" s="81">
        <v>0.37</v>
      </c>
      <c r="AO3" s="81">
        <v>0.33</v>
      </c>
      <c r="AP3" s="81">
        <v>0.13</v>
      </c>
      <c r="AQ3" s="60">
        <v>1419.56</v>
      </c>
      <c r="AR3" s="79">
        <v>664</v>
      </c>
      <c r="AS3" s="81">
        <f>AR3/O3</f>
        <v>7.0175438596491224E-2</v>
      </c>
      <c r="AT3" s="60"/>
      <c r="AU3" s="59" t="s">
        <v>621</v>
      </c>
      <c r="AV3" s="59"/>
      <c r="AW3" s="56"/>
      <c r="AX3" s="196">
        <v>40816</v>
      </c>
      <c r="AY3" s="203" t="s">
        <v>177</v>
      </c>
      <c r="AZ3" s="203" t="s">
        <v>177</v>
      </c>
      <c r="BA3" s="445"/>
      <c r="BB3" s="216">
        <v>40491</v>
      </c>
      <c r="BC3" s="102"/>
      <c r="BD3" s="102"/>
      <c r="BE3" s="216"/>
      <c r="BF3" s="102"/>
      <c r="BG3" s="116"/>
      <c r="BH3" s="316"/>
      <c r="BI3" s="116"/>
      <c r="BJ3" s="116"/>
      <c r="BK3" s="200"/>
      <c r="BL3" s="200">
        <f t="shared" si="2"/>
        <v>731</v>
      </c>
      <c r="BM3" s="200">
        <f t="shared" si="3"/>
        <v>1096</v>
      </c>
      <c r="BN3" s="200"/>
      <c r="BO3" s="116"/>
      <c r="BP3" s="116"/>
      <c r="BQ3" s="116"/>
      <c r="BR3" s="106"/>
      <c r="BS3" s="106"/>
      <c r="BT3" s="106"/>
      <c r="BU3" s="167"/>
      <c r="BV3" s="333" t="s">
        <v>177</v>
      </c>
      <c r="BW3" s="268"/>
      <c r="BX3" s="169" t="s">
        <v>177</v>
      </c>
      <c r="BY3" s="174" t="s">
        <v>177</v>
      </c>
      <c r="BZ3" s="268"/>
      <c r="CA3" s="268"/>
      <c r="CB3" s="268" t="s">
        <v>177</v>
      </c>
      <c r="CC3" s="682"/>
      <c r="CD3" s="511"/>
      <c r="CE3" s="381">
        <v>40945</v>
      </c>
      <c r="CF3" s="374">
        <v>2012</v>
      </c>
      <c r="CG3" s="495">
        <f t="shared" si="4"/>
        <v>15.133333333333333</v>
      </c>
      <c r="CH3" s="135">
        <v>15</v>
      </c>
      <c r="CI3" s="135">
        <f t="shared" si="5"/>
        <v>16</v>
      </c>
      <c r="CJ3" s="135">
        <f t="shared" si="6"/>
        <v>21</v>
      </c>
      <c r="CK3" s="135">
        <f t="shared" si="7"/>
        <v>23</v>
      </c>
      <c r="CL3" s="135">
        <f t="shared" si="8"/>
        <v>6</v>
      </c>
      <c r="CM3" s="135">
        <f t="shared" si="9"/>
        <v>7</v>
      </c>
      <c r="CN3" s="245">
        <v>11928</v>
      </c>
      <c r="CO3" s="245">
        <f t="shared" si="10"/>
        <v>71568</v>
      </c>
      <c r="CP3" s="128" t="s">
        <v>133</v>
      </c>
      <c r="CQ3" s="694">
        <f t="shared" si="11"/>
        <v>41400</v>
      </c>
      <c r="CR3" s="390">
        <v>41601</v>
      </c>
      <c r="CS3" s="385"/>
      <c r="CT3" s="136">
        <v>41669</v>
      </c>
      <c r="CU3" s="136"/>
      <c r="CV3" s="701">
        <v>41663</v>
      </c>
      <c r="CW3" s="706">
        <v>41663</v>
      </c>
      <c r="CX3" s="674">
        <v>2014</v>
      </c>
      <c r="CY3" s="197"/>
      <c r="CZ3" s="128"/>
      <c r="DA3" s="128"/>
      <c r="DB3" s="128" t="s">
        <v>133</v>
      </c>
      <c r="DC3" s="128" t="s">
        <v>133</v>
      </c>
      <c r="DD3" s="128"/>
      <c r="DE3" s="119">
        <v>42697</v>
      </c>
      <c r="DF3" s="119">
        <f t="shared" si="12"/>
        <v>41966</v>
      </c>
      <c r="DG3" s="119" t="s">
        <v>133</v>
      </c>
      <c r="DH3" s="119"/>
      <c r="DI3" s="119">
        <v>41925</v>
      </c>
      <c r="DJ3" s="119">
        <v>41928</v>
      </c>
      <c r="DK3" s="119"/>
      <c r="DL3" s="119"/>
      <c r="DM3" s="119" t="s">
        <v>177</v>
      </c>
      <c r="DN3" s="119"/>
      <c r="DO3" s="119"/>
      <c r="DP3" s="119"/>
      <c r="DQ3" s="119"/>
      <c r="DR3" s="119"/>
      <c r="DS3" s="128"/>
      <c r="DT3" s="128"/>
      <c r="DU3" s="128"/>
      <c r="DV3" s="589" t="str">
        <f t="shared" si="13"/>
        <v>0</v>
      </c>
      <c r="DW3" s="128"/>
      <c r="DX3" s="128"/>
      <c r="DY3" s="589" t="str">
        <f t="shared" si="14"/>
        <v>0</v>
      </c>
      <c r="DZ3" s="128"/>
      <c r="EA3" s="128"/>
      <c r="EB3" s="589" t="str">
        <f t="shared" si="15"/>
        <v>0</v>
      </c>
      <c r="EC3" s="128"/>
      <c r="ED3" s="128"/>
      <c r="EE3" s="589" t="str">
        <f t="shared" si="16"/>
        <v>0</v>
      </c>
      <c r="EF3" s="135"/>
      <c r="EG3" s="646"/>
      <c r="EH3" s="589" t="str">
        <f t="shared" si="17"/>
        <v>0</v>
      </c>
      <c r="EI3" s="245"/>
      <c r="EJ3" s="600"/>
      <c r="EK3" s="595"/>
      <c r="EL3" s="596" t="str">
        <f t="shared" si="18"/>
        <v>0</v>
      </c>
      <c r="EM3" s="600"/>
      <c r="EN3" s="595"/>
      <c r="EO3" s="596" t="str">
        <f t="shared" si="19"/>
        <v>0</v>
      </c>
      <c r="EP3" s="600"/>
      <c r="EQ3" s="595"/>
      <c r="ER3" s="596" t="str">
        <f t="shared" si="20"/>
        <v>0</v>
      </c>
      <c r="ES3" s="603"/>
      <c r="ET3" s="622"/>
      <c r="EU3" s="597" t="str">
        <f t="shared" si="21"/>
        <v>0</v>
      </c>
      <c r="EV3" s="598"/>
      <c r="EW3" s="599"/>
      <c r="EX3" s="596" t="str">
        <f t="shared" si="22"/>
        <v>0</v>
      </c>
      <c r="EY3" s="595"/>
      <c r="EZ3" s="600"/>
      <c r="FA3" s="596" t="str">
        <f t="shared" si="23"/>
        <v>0</v>
      </c>
      <c r="FB3" s="604"/>
      <c r="FC3" s="604"/>
      <c r="FD3" s="596" t="str">
        <f t="shared" si="24"/>
        <v>0</v>
      </c>
      <c r="FE3" s="604"/>
      <c r="FF3" s="602"/>
      <c r="FG3" s="596" t="str">
        <f t="shared" si="25"/>
        <v>0</v>
      </c>
      <c r="FH3" s="600"/>
      <c r="FI3" s="600"/>
      <c r="FJ3" s="596" t="str">
        <f t="shared" si="26"/>
        <v>0</v>
      </c>
      <c r="FK3" s="602"/>
      <c r="FL3" s="602"/>
      <c r="FM3" s="602"/>
      <c r="FN3" s="602"/>
      <c r="FO3" s="600"/>
      <c r="FP3" s="598">
        <f t="shared" si="27"/>
        <v>0</v>
      </c>
      <c r="FQ3" s="602"/>
      <c r="FR3" s="600">
        <f>CW3</f>
        <v>41663</v>
      </c>
      <c r="FS3" s="623"/>
      <c r="FT3" s="623"/>
      <c r="FU3" s="627"/>
      <c r="FV3" s="627"/>
      <c r="FW3" s="628">
        <f t="shared" si="28"/>
        <v>0</v>
      </c>
      <c r="FX3" s="628">
        <f t="shared" si="29"/>
        <v>1388.7666666666667</v>
      </c>
      <c r="FY3" s="624"/>
      <c r="FZ3" s="641" t="s">
        <v>852</v>
      </c>
      <c r="GA3" s="624"/>
      <c r="GB3" s="624"/>
      <c r="GC3" s="447"/>
      <c r="GD3" s="447"/>
      <c r="GE3" s="10">
        <v>3911389</v>
      </c>
      <c r="GF3" s="477">
        <f>GP3+GT3+HA3+HT3+GY3+HE3</f>
        <v>3911389</v>
      </c>
      <c r="GG3" s="97">
        <f t="shared" si="30"/>
        <v>0</v>
      </c>
      <c r="GH3" s="97">
        <f t="shared" si="31"/>
        <v>1747.6850279709031</v>
      </c>
      <c r="GI3" s="97">
        <f t="shared" si="32"/>
        <v>130379.63333333333</v>
      </c>
      <c r="GJ3" s="456"/>
      <c r="GK3" s="70"/>
      <c r="GL3" s="97">
        <f t="shared" si="33"/>
        <v>0</v>
      </c>
      <c r="GM3" s="138">
        <f t="shared" si="34"/>
        <v>0</v>
      </c>
      <c r="GN3" s="138"/>
      <c r="GO3" s="448">
        <v>0</v>
      </c>
      <c r="GP3" s="15">
        <v>0</v>
      </c>
      <c r="GQ3" s="52">
        <f t="shared" si="35"/>
        <v>0</v>
      </c>
      <c r="GR3" s="98">
        <f t="shared" si="36"/>
        <v>0</v>
      </c>
      <c r="GS3" s="96">
        <v>2481000</v>
      </c>
      <c r="GT3" s="70">
        <f t="shared" si="37"/>
        <v>2481000</v>
      </c>
      <c r="GU3" s="90">
        <v>486094</v>
      </c>
      <c r="GV3" s="90">
        <v>1994906</v>
      </c>
      <c r="GW3" s="98">
        <f t="shared" si="38"/>
        <v>0</v>
      </c>
      <c r="GX3" s="52">
        <f t="shared" si="39"/>
        <v>82700</v>
      </c>
      <c r="GY3" s="70"/>
      <c r="GZ3" s="448">
        <f>HA3</f>
        <v>1359605</v>
      </c>
      <c r="HA3" s="69">
        <v>1359605</v>
      </c>
      <c r="HB3" s="69"/>
      <c r="HC3" s="91">
        <f t="shared" si="40"/>
        <v>0.34760158092176463</v>
      </c>
      <c r="HD3" s="329"/>
      <c r="HE3" s="69"/>
      <c r="HF3" s="92">
        <f t="shared" ref="HF3:HF10" si="48">HA3-GZ3</f>
        <v>0</v>
      </c>
      <c r="HG3" s="52">
        <f t="shared" si="41"/>
        <v>45320.166666666664</v>
      </c>
      <c r="HH3" s="52"/>
      <c r="HI3" s="92">
        <f t="shared" si="42"/>
        <v>0</v>
      </c>
      <c r="HJ3" s="51"/>
      <c r="HK3" s="51"/>
      <c r="HL3" s="94">
        <v>2106869</v>
      </c>
      <c r="HM3" s="94">
        <v>550000</v>
      </c>
      <c r="HN3" s="52">
        <f t="shared" si="43"/>
        <v>63653.5</v>
      </c>
      <c r="HO3" s="94">
        <v>1220907.39295</v>
      </c>
      <c r="HP3" s="52">
        <f t="shared" si="44"/>
        <v>104350.41309833335</v>
      </c>
      <c r="HQ3" s="53">
        <f t="shared" si="45"/>
        <v>0.5439291445742479</v>
      </c>
      <c r="HR3" s="94">
        <v>262890</v>
      </c>
      <c r="HS3" s="94"/>
      <c r="HT3" s="70">
        <v>70784</v>
      </c>
      <c r="HU3" s="99">
        <f t="shared" si="46"/>
        <v>6018258</v>
      </c>
      <c r="HV3" s="245"/>
      <c r="HW3" s="245">
        <f t="shared" si="47"/>
        <v>0</v>
      </c>
      <c r="HX3" s="119"/>
      <c r="HY3" s="245"/>
      <c r="HZ3" s="245"/>
      <c r="IA3" s="119"/>
      <c r="IB3" s="119"/>
      <c r="IC3" s="245"/>
      <c r="ID3" s="119"/>
      <c r="IE3" s="245"/>
      <c r="IF3" s="119"/>
      <c r="IG3" s="245"/>
      <c r="IH3" s="120"/>
      <c r="II3" s="350"/>
      <c r="IJ3" s="341"/>
      <c r="IK3" s="341"/>
      <c r="IL3" s="128"/>
      <c r="IM3" s="245"/>
      <c r="IN3" s="128"/>
      <c r="IO3" s="245"/>
      <c r="IP3" s="351"/>
      <c r="IQ3" s="351"/>
      <c r="IR3" s="351"/>
      <c r="IS3" s="351"/>
      <c r="IT3" s="289"/>
      <c r="IU3" s="289"/>
      <c r="IV3" s="289"/>
      <c r="IW3" s="289"/>
      <c r="IX3" s="289"/>
      <c r="IY3" s="289"/>
      <c r="IZ3" s="245"/>
      <c r="JA3" s="128"/>
      <c r="JB3" s="120"/>
      <c r="JC3" s="128"/>
      <c r="JD3" s="128"/>
      <c r="JE3" s="120"/>
    </row>
    <row r="4" spans="1:265" ht="24.95" customHeight="1">
      <c r="A4" s="6" t="s">
        <v>320</v>
      </c>
      <c r="B4" s="7" t="s">
        <v>35</v>
      </c>
      <c r="C4" s="7" t="s">
        <v>117</v>
      </c>
      <c r="D4" s="7">
        <v>2011</v>
      </c>
      <c r="E4" s="7" t="s">
        <v>108</v>
      </c>
      <c r="F4" s="7" t="s">
        <v>37</v>
      </c>
      <c r="G4" s="7" t="s">
        <v>188</v>
      </c>
      <c r="H4" s="56" t="s">
        <v>265</v>
      </c>
      <c r="I4" s="56"/>
      <c r="J4" s="56"/>
      <c r="K4" s="275"/>
      <c r="L4" s="460"/>
      <c r="M4" s="460"/>
      <c r="N4" s="460"/>
      <c r="O4" s="219">
        <v>3280</v>
      </c>
      <c r="P4" s="219">
        <f>Q4</f>
        <v>700000</v>
      </c>
      <c r="Q4" s="219">
        <v>700000</v>
      </c>
      <c r="R4" s="219">
        <f>P4/AD4</f>
        <v>35000</v>
      </c>
      <c r="S4" s="219">
        <f>P4/O4</f>
        <v>213.41463414634146</v>
      </c>
      <c r="T4" s="219">
        <f>Q4/O4</f>
        <v>213.41463414634146</v>
      </c>
      <c r="U4" s="219">
        <f>Q4/AJ4</f>
        <v>409.99209300963486</v>
      </c>
      <c r="V4" s="219">
        <f>Q4/AD4</f>
        <v>35000</v>
      </c>
      <c r="W4" s="219">
        <f>O4/AD4</f>
        <v>164</v>
      </c>
      <c r="X4" s="220"/>
      <c r="Y4" s="221">
        <f>AJ4/O4</f>
        <v>0.52053353658536583</v>
      </c>
      <c r="Z4" s="220" t="s">
        <v>215</v>
      </c>
      <c r="AA4" s="222"/>
      <c r="AB4" s="222"/>
      <c r="AC4" s="7" t="s">
        <v>15</v>
      </c>
      <c r="AD4" s="345">
        <f t="shared" si="0"/>
        <v>20</v>
      </c>
      <c r="AE4" s="7">
        <v>20</v>
      </c>
      <c r="AF4" s="463"/>
      <c r="AG4" s="443"/>
      <c r="AH4" s="443"/>
      <c r="AI4" s="9">
        <v>1707.35</v>
      </c>
      <c r="AJ4" s="85">
        <v>1707.35</v>
      </c>
      <c r="AK4" s="9">
        <f t="shared" si="1"/>
        <v>85.367499999999993</v>
      </c>
      <c r="AL4" s="81">
        <v>0</v>
      </c>
      <c r="AM4" s="81">
        <v>0</v>
      </c>
      <c r="AN4" s="81">
        <f>2/AD4</f>
        <v>0.1</v>
      </c>
      <c r="AO4" s="81">
        <f>18/AD4</f>
        <v>0.9</v>
      </c>
      <c r="AP4" s="81">
        <v>0</v>
      </c>
      <c r="AQ4" s="9">
        <v>461.7</v>
      </c>
      <c r="AR4" s="79"/>
      <c r="AS4" s="81">
        <f>AR4/O4</f>
        <v>0</v>
      </c>
      <c r="AT4" s="60">
        <v>2</v>
      </c>
      <c r="AU4" s="59" t="s">
        <v>621</v>
      </c>
      <c r="AV4" s="464"/>
      <c r="AW4" s="56"/>
      <c r="AX4" s="196">
        <v>40816</v>
      </c>
      <c r="AY4" s="467" t="s">
        <v>12</v>
      </c>
      <c r="AZ4" s="467" t="s">
        <v>244</v>
      </c>
      <c r="BA4" s="468"/>
      <c r="BB4" s="216">
        <v>40722</v>
      </c>
      <c r="BC4" s="102"/>
      <c r="BD4" s="102"/>
      <c r="BE4" s="216"/>
      <c r="BF4" s="102"/>
      <c r="BG4" s="37"/>
      <c r="BH4" s="473"/>
      <c r="BI4" s="116"/>
      <c r="BJ4" s="116"/>
      <c r="BK4" s="200"/>
      <c r="BL4" s="200">
        <f t="shared" si="2"/>
        <v>731</v>
      </c>
      <c r="BM4" s="200">
        <f t="shared" si="3"/>
        <v>1096</v>
      </c>
      <c r="BN4" s="200"/>
      <c r="BO4" s="116"/>
      <c r="BP4" s="37"/>
      <c r="BQ4" s="116"/>
      <c r="BR4" s="106"/>
      <c r="BS4" s="106"/>
      <c r="BT4" s="106"/>
      <c r="BU4" s="167" t="s">
        <v>191</v>
      </c>
      <c r="BV4" s="333">
        <v>41265</v>
      </c>
      <c r="BW4" s="268"/>
      <c r="BX4" s="660">
        <v>3434319.2948090113</v>
      </c>
      <c r="BY4" s="174" t="s">
        <v>177</v>
      </c>
      <c r="BZ4" s="268"/>
      <c r="CA4" s="373">
        <v>41044</v>
      </c>
      <c r="CB4" s="268">
        <v>41477</v>
      </c>
      <c r="CC4" s="681">
        <f>(CW4-CB4)/30</f>
        <v>1.7333333333333334</v>
      </c>
      <c r="CD4" s="511"/>
      <c r="CE4" s="381">
        <v>40899</v>
      </c>
      <c r="CF4" s="374">
        <v>2011</v>
      </c>
      <c r="CG4" s="495">
        <f t="shared" si="4"/>
        <v>5.9</v>
      </c>
      <c r="CH4" s="135">
        <v>15</v>
      </c>
      <c r="CI4" s="135">
        <f t="shared" si="5"/>
        <v>16</v>
      </c>
      <c r="CJ4" s="135">
        <f t="shared" si="6"/>
        <v>19</v>
      </c>
      <c r="CK4" s="135">
        <f t="shared" si="7"/>
        <v>20</v>
      </c>
      <c r="CL4" s="135">
        <f t="shared" si="8"/>
        <v>4</v>
      </c>
      <c r="CM4" s="135">
        <f t="shared" si="9"/>
        <v>4</v>
      </c>
      <c r="CN4" s="245">
        <v>10566</v>
      </c>
      <c r="CO4" s="245">
        <f t="shared" si="10"/>
        <v>42264</v>
      </c>
      <c r="CP4" s="128" t="s">
        <v>133</v>
      </c>
      <c r="CQ4" s="694">
        <f t="shared" si="11"/>
        <v>41355</v>
      </c>
      <c r="CR4" s="390">
        <v>41500</v>
      </c>
      <c r="CS4" s="385"/>
      <c r="CT4" s="119">
        <v>41429</v>
      </c>
      <c r="CU4" s="119"/>
      <c r="CV4" s="687">
        <v>41508</v>
      </c>
      <c r="CW4" s="390">
        <v>41529</v>
      </c>
      <c r="CX4" s="515">
        <v>2013</v>
      </c>
      <c r="CY4" s="136"/>
      <c r="CZ4" s="128"/>
      <c r="DA4" s="128"/>
      <c r="DB4" s="128"/>
      <c r="DC4" s="128"/>
      <c r="DD4" s="128"/>
      <c r="DE4" s="120"/>
      <c r="DF4" s="128">
        <f t="shared" si="12"/>
        <v>41865</v>
      </c>
      <c r="DG4" s="128" t="s">
        <v>314</v>
      </c>
      <c r="DH4" s="128" t="s">
        <v>133</v>
      </c>
      <c r="DI4" s="128" t="s">
        <v>133</v>
      </c>
      <c r="DJ4" s="128">
        <v>41932</v>
      </c>
      <c r="DK4" s="128" t="s">
        <v>133</v>
      </c>
      <c r="DL4" s="128"/>
      <c r="DM4" s="119">
        <v>42178</v>
      </c>
      <c r="DN4" s="119"/>
      <c r="DO4" s="119"/>
      <c r="DP4" s="119"/>
      <c r="DQ4" s="206" t="s">
        <v>133</v>
      </c>
      <c r="DR4" s="206" t="s">
        <v>133</v>
      </c>
      <c r="DS4" s="128"/>
      <c r="DT4" s="128"/>
      <c r="DU4" s="128"/>
      <c r="DV4" s="589" t="str">
        <f t="shared" si="13"/>
        <v>0</v>
      </c>
      <c r="DW4" s="128"/>
      <c r="DX4" s="128"/>
      <c r="DY4" s="589" t="str">
        <f t="shared" si="14"/>
        <v>0</v>
      </c>
      <c r="DZ4" s="128"/>
      <c r="EA4" s="128"/>
      <c r="EB4" s="589" t="str">
        <f t="shared" si="15"/>
        <v>0</v>
      </c>
      <c r="EC4" s="128"/>
      <c r="ED4" s="128"/>
      <c r="EE4" s="589" t="str">
        <f t="shared" si="16"/>
        <v>0</v>
      </c>
      <c r="EF4" s="135"/>
      <c r="EG4" s="646"/>
      <c r="EH4" s="589" t="str">
        <f t="shared" si="17"/>
        <v>0</v>
      </c>
      <c r="EI4" s="245"/>
      <c r="EJ4" s="600"/>
      <c r="EK4" s="595"/>
      <c r="EL4" s="596" t="str">
        <f t="shared" si="18"/>
        <v>0</v>
      </c>
      <c r="EM4" s="600"/>
      <c r="EN4" s="595"/>
      <c r="EO4" s="596" t="str">
        <f t="shared" si="19"/>
        <v>0</v>
      </c>
      <c r="EP4" s="600"/>
      <c r="EQ4" s="595"/>
      <c r="ER4" s="596" t="str">
        <f t="shared" si="20"/>
        <v>0</v>
      </c>
      <c r="ES4" s="603"/>
      <c r="ET4" s="622"/>
      <c r="EU4" s="597" t="str">
        <f t="shared" si="21"/>
        <v>0</v>
      </c>
      <c r="EV4" s="598"/>
      <c r="EW4" s="599"/>
      <c r="EX4" s="596" t="str">
        <f t="shared" si="22"/>
        <v>0</v>
      </c>
      <c r="EY4" s="600"/>
      <c r="EZ4" s="600"/>
      <c r="FA4" s="596" t="str">
        <f t="shared" si="23"/>
        <v>0</v>
      </c>
      <c r="FB4" s="600"/>
      <c r="FC4" s="600"/>
      <c r="FD4" s="596" t="str">
        <f t="shared" si="24"/>
        <v>0</v>
      </c>
      <c r="FE4" s="600"/>
      <c r="FF4" s="600"/>
      <c r="FG4" s="596" t="str">
        <f t="shared" si="25"/>
        <v>0</v>
      </c>
      <c r="FH4" s="600"/>
      <c r="FI4" s="600"/>
      <c r="FJ4" s="596" t="str">
        <f t="shared" si="26"/>
        <v>0</v>
      </c>
      <c r="FK4" s="600"/>
      <c r="FL4" s="600"/>
      <c r="FM4" s="600"/>
      <c r="FN4" s="600"/>
      <c r="FO4" s="600">
        <v>43174</v>
      </c>
      <c r="FP4" s="598">
        <f t="shared" si="27"/>
        <v>0</v>
      </c>
      <c r="FQ4" s="600"/>
      <c r="FR4" s="600">
        <f>CW4</f>
        <v>41529</v>
      </c>
      <c r="FS4" s="623"/>
      <c r="FT4" s="623"/>
      <c r="FU4" s="627"/>
      <c r="FV4" s="627"/>
      <c r="FW4" s="628">
        <f t="shared" si="28"/>
        <v>0</v>
      </c>
      <c r="FX4" s="628">
        <f t="shared" si="29"/>
        <v>1384.3</v>
      </c>
      <c r="FY4" s="624"/>
      <c r="FZ4" s="641"/>
      <c r="GA4" s="624"/>
      <c r="GB4" s="624"/>
      <c r="GC4" s="476"/>
      <c r="GD4" s="447"/>
      <c r="GE4" s="10">
        <v>3732556</v>
      </c>
      <c r="GF4" s="477">
        <f>GP4+GT4+HA4+HT4+GY4+HE4</f>
        <v>3732556</v>
      </c>
      <c r="GG4" s="12">
        <f t="shared" si="30"/>
        <v>0</v>
      </c>
      <c r="GH4" s="12">
        <f t="shared" si="31"/>
        <v>2186.1692095938151</v>
      </c>
      <c r="GI4" s="12">
        <f t="shared" si="32"/>
        <v>186627.8</v>
      </c>
      <c r="GJ4" s="503">
        <v>3491780</v>
      </c>
      <c r="GK4" s="11"/>
      <c r="GL4" s="12">
        <f t="shared" si="33"/>
        <v>-3491780</v>
      </c>
      <c r="GM4" s="137">
        <f t="shared" si="34"/>
        <v>0.95513835023506677</v>
      </c>
      <c r="GN4" s="138"/>
      <c r="GO4" s="10">
        <v>1090090</v>
      </c>
      <c r="GP4" s="15">
        <v>1090090</v>
      </c>
      <c r="GQ4" s="23">
        <f t="shared" si="35"/>
        <v>54504.5</v>
      </c>
      <c r="GR4" s="38">
        <f t="shared" si="36"/>
        <v>0</v>
      </c>
      <c r="GS4" s="10">
        <v>2287466</v>
      </c>
      <c r="GT4" s="11">
        <f t="shared" si="37"/>
        <v>2287466</v>
      </c>
      <c r="GU4" s="13">
        <v>616923</v>
      </c>
      <c r="GV4" s="13">
        <v>1670543</v>
      </c>
      <c r="GW4" s="38">
        <f t="shared" si="38"/>
        <v>0</v>
      </c>
      <c r="GX4" s="23">
        <f t="shared" si="39"/>
        <v>114373.3</v>
      </c>
      <c r="GY4" s="11">
        <v>0</v>
      </c>
      <c r="GZ4" s="479">
        <v>355000</v>
      </c>
      <c r="HA4" s="15">
        <v>355000</v>
      </c>
      <c r="HB4" s="69"/>
      <c r="HC4" s="41">
        <f t="shared" si="40"/>
        <v>9.5109088785272078E-2</v>
      </c>
      <c r="HD4" s="329"/>
      <c r="HE4" s="15">
        <v>0</v>
      </c>
      <c r="HF4" s="24">
        <f t="shared" si="48"/>
        <v>0</v>
      </c>
      <c r="HG4" s="23">
        <f t="shared" si="41"/>
        <v>17750</v>
      </c>
      <c r="HH4" s="52"/>
      <c r="HI4" s="24">
        <f t="shared" si="42"/>
        <v>0</v>
      </c>
      <c r="HJ4" s="51"/>
      <c r="HK4" s="51"/>
      <c r="HL4" s="40">
        <v>0</v>
      </c>
      <c r="HM4" s="40">
        <v>0</v>
      </c>
      <c r="HN4" s="23">
        <f t="shared" si="43"/>
        <v>72254.5</v>
      </c>
      <c r="HO4" s="40">
        <v>0</v>
      </c>
      <c r="HP4" s="23">
        <f t="shared" si="44"/>
        <v>72254.5</v>
      </c>
      <c r="HQ4" s="53">
        <f t="shared" si="45"/>
        <v>0.38715829045833472</v>
      </c>
      <c r="HR4" s="40"/>
      <c r="HS4" s="40"/>
      <c r="HT4" s="11">
        <v>0</v>
      </c>
      <c r="HU4" s="42">
        <f t="shared" si="46"/>
        <v>3732556</v>
      </c>
      <c r="HV4" s="245"/>
      <c r="HW4" s="245">
        <f t="shared" si="47"/>
        <v>0</v>
      </c>
      <c r="HX4" s="119"/>
      <c r="HY4" s="245"/>
      <c r="HZ4" s="245"/>
      <c r="IA4" s="119"/>
      <c r="IB4" s="119"/>
      <c r="IC4" s="245"/>
      <c r="ID4" s="119"/>
      <c r="IE4" s="245"/>
      <c r="IF4" s="119"/>
      <c r="IG4" s="245"/>
      <c r="IH4" s="120"/>
      <c r="II4" s="350"/>
      <c r="IJ4" s="341"/>
      <c r="IK4" s="341"/>
      <c r="IL4" s="128"/>
      <c r="IM4" s="245"/>
      <c r="IN4" s="128"/>
      <c r="IO4" s="245"/>
      <c r="IP4" s="351"/>
      <c r="IQ4" s="351"/>
      <c r="IR4" s="351"/>
      <c r="IS4" s="351"/>
      <c r="IT4" s="289"/>
      <c r="IU4" s="289"/>
      <c r="IV4" s="289"/>
      <c r="IW4" s="289"/>
      <c r="IX4" s="289"/>
      <c r="IY4" s="289"/>
      <c r="IZ4" s="245"/>
      <c r="JA4" s="128"/>
      <c r="JB4" s="120"/>
      <c r="JC4" s="128"/>
      <c r="JD4" s="128"/>
      <c r="JE4" s="120"/>
    </row>
    <row r="5" spans="1:265" ht="24.95" customHeight="1">
      <c r="A5" s="6" t="s">
        <v>317</v>
      </c>
      <c r="B5" s="7" t="s">
        <v>35</v>
      </c>
      <c r="C5" s="7" t="s">
        <v>117</v>
      </c>
      <c r="D5" s="7">
        <v>2011</v>
      </c>
      <c r="E5" s="7" t="s">
        <v>112</v>
      </c>
      <c r="F5" s="7"/>
      <c r="G5" s="7"/>
      <c r="H5" s="56" t="s">
        <v>265</v>
      </c>
      <c r="I5" s="56"/>
      <c r="J5" s="56"/>
      <c r="K5" s="275"/>
      <c r="L5" s="460"/>
      <c r="M5" s="460"/>
      <c r="N5" s="460"/>
      <c r="O5" s="219">
        <v>5169</v>
      </c>
      <c r="P5" s="219">
        <f>Q5</f>
        <v>908948</v>
      </c>
      <c r="Q5" s="219">
        <v>908948</v>
      </c>
      <c r="R5" s="219">
        <f>P5/(AD5+AD33)</f>
        <v>12119.306666666667</v>
      </c>
      <c r="S5" s="219">
        <f>P5/O5</f>
        <v>175.84600502998646</v>
      </c>
      <c r="T5" s="219">
        <f>Q5/O5</f>
        <v>175.84600502998646</v>
      </c>
      <c r="U5" s="219">
        <f>Q5/(AJ5+AJ33)</f>
        <v>136.08432021319601</v>
      </c>
      <c r="V5" s="219">
        <f>Q5/(AD5+AD33)</f>
        <v>12119.306666666667</v>
      </c>
      <c r="W5" s="219">
        <f>O5/(AD5+AD33)</f>
        <v>68.92</v>
      </c>
      <c r="X5" s="220"/>
      <c r="Y5" s="221">
        <f>(AJ5+AJ33)/O5</f>
        <v>1.2921841748887597</v>
      </c>
      <c r="Z5" s="220" t="s">
        <v>197</v>
      </c>
      <c r="AA5" s="222"/>
      <c r="AB5" s="222"/>
      <c r="AC5" s="7" t="s">
        <v>15</v>
      </c>
      <c r="AD5" s="345">
        <f t="shared" si="0"/>
        <v>51</v>
      </c>
      <c r="AE5" s="7">
        <v>51</v>
      </c>
      <c r="AF5" s="463"/>
      <c r="AG5" s="443"/>
      <c r="AH5" s="443"/>
      <c r="AI5" s="9">
        <v>4837.3599999999997</v>
      </c>
      <c r="AJ5" s="85">
        <v>4837.3599999999997</v>
      </c>
      <c r="AK5" s="9">
        <f t="shared" si="1"/>
        <v>94.850196078431367</v>
      </c>
      <c r="AL5" s="60"/>
      <c r="AM5" s="60"/>
      <c r="AN5" s="60"/>
      <c r="AO5" s="60"/>
      <c r="AP5" s="60"/>
      <c r="AQ5" s="9">
        <v>900</v>
      </c>
      <c r="AR5" s="79">
        <v>0</v>
      </c>
      <c r="AS5" s="81">
        <f>AR5/O5</f>
        <v>0</v>
      </c>
      <c r="AT5" s="60"/>
      <c r="AU5" s="59" t="s">
        <v>621</v>
      </c>
      <c r="AV5" s="464" t="s">
        <v>125</v>
      </c>
      <c r="AW5" s="56"/>
      <c r="AX5" s="196">
        <v>40816</v>
      </c>
      <c r="AY5" s="467" t="s">
        <v>12</v>
      </c>
      <c r="AZ5" s="467" t="s">
        <v>242</v>
      </c>
      <c r="BA5" s="468"/>
      <c r="BB5" s="216">
        <v>40722</v>
      </c>
      <c r="BC5" s="102">
        <v>42317</v>
      </c>
      <c r="BD5" s="102"/>
      <c r="BE5" s="216"/>
      <c r="BF5" s="102"/>
      <c r="BG5" s="37"/>
      <c r="BH5" s="473"/>
      <c r="BI5" s="116"/>
      <c r="BJ5" s="116"/>
      <c r="BK5" s="200"/>
      <c r="BL5" s="200">
        <f t="shared" si="2"/>
        <v>731</v>
      </c>
      <c r="BM5" s="200">
        <f t="shared" si="3"/>
        <v>1096</v>
      </c>
      <c r="BN5" s="200"/>
      <c r="BO5" s="116"/>
      <c r="BP5" s="37"/>
      <c r="BQ5" s="116"/>
      <c r="BR5" s="106"/>
      <c r="BS5" s="106"/>
      <c r="BT5" s="104"/>
      <c r="BU5" s="167" t="s">
        <v>149</v>
      </c>
      <c r="BV5" s="333">
        <v>40898</v>
      </c>
      <c r="BW5" s="268"/>
      <c r="BX5" s="660">
        <v>9794319.2948090117</v>
      </c>
      <c r="BY5" s="174" t="s">
        <v>177</v>
      </c>
      <c r="BZ5" s="268"/>
      <c r="CA5" s="373">
        <v>41176</v>
      </c>
      <c r="CB5" s="268">
        <v>41568</v>
      </c>
      <c r="CC5" s="681">
        <f>(CW5-CB5)/30</f>
        <v>3.8333333333333335</v>
      </c>
      <c r="CD5" s="511"/>
      <c r="CE5" s="381">
        <v>40898</v>
      </c>
      <c r="CF5" s="374">
        <v>2011</v>
      </c>
      <c r="CG5" s="495">
        <f t="shared" si="4"/>
        <v>5.8666666666666663</v>
      </c>
      <c r="CH5" s="135">
        <v>22</v>
      </c>
      <c r="CI5" s="135">
        <f t="shared" si="5"/>
        <v>23</v>
      </c>
      <c r="CJ5" s="135">
        <f t="shared" si="6"/>
        <v>22</v>
      </c>
      <c r="CK5" s="135">
        <f t="shared" si="7"/>
        <v>25</v>
      </c>
      <c r="CL5" s="135">
        <f t="shared" si="8"/>
        <v>0</v>
      </c>
      <c r="CM5" s="135">
        <f t="shared" si="9"/>
        <v>2</v>
      </c>
      <c r="CN5" s="245">
        <v>30568</v>
      </c>
      <c r="CO5" s="245">
        <f t="shared" si="10"/>
        <v>0</v>
      </c>
      <c r="CP5" s="136" t="s">
        <v>133</v>
      </c>
      <c r="CQ5" s="695">
        <f t="shared" si="11"/>
        <v>41568</v>
      </c>
      <c r="CR5" s="390">
        <v>41568</v>
      </c>
      <c r="CS5" s="385"/>
      <c r="CT5" s="136">
        <v>41611</v>
      </c>
      <c r="CU5" s="136"/>
      <c r="CV5" s="701">
        <v>41683</v>
      </c>
      <c r="CW5" s="706">
        <v>41683</v>
      </c>
      <c r="CX5" s="674">
        <v>2014</v>
      </c>
      <c r="CY5" s="197"/>
      <c r="CZ5" s="128"/>
      <c r="DA5" s="128"/>
      <c r="DB5" s="128"/>
      <c r="DC5" s="128"/>
      <c r="DD5" s="128"/>
      <c r="DE5" s="120"/>
      <c r="DF5" s="128">
        <f t="shared" si="12"/>
        <v>41933</v>
      </c>
      <c r="DG5" s="128" t="s">
        <v>315</v>
      </c>
      <c r="DH5" s="128" t="s">
        <v>133</v>
      </c>
      <c r="DI5" s="128"/>
      <c r="DJ5" s="128"/>
      <c r="DK5" s="128"/>
      <c r="DL5" s="128"/>
      <c r="DM5" s="119">
        <v>42121</v>
      </c>
      <c r="DN5" s="119"/>
      <c r="DO5" s="206"/>
      <c r="DP5" s="206"/>
      <c r="DQ5" s="128"/>
      <c r="DR5" s="128"/>
      <c r="DS5" s="128"/>
      <c r="DT5" s="128"/>
      <c r="DU5" s="128"/>
      <c r="DV5" s="589" t="str">
        <f t="shared" si="13"/>
        <v>0</v>
      </c>
      <c r="DW5" s="128"/>
      <c r="DX5" s="128"/>
      <c r="DY5" s="589" t="str">
        <f t="shared" si="14"/>
        <v>0</v>
      </c>
      <c r="DZ5" s="128"/>
      <c r="EA5" s="128"/>
      <c r="EB5" s="589" t="str">
        <f t="shared" si="15"/>
        <v>0</v>
      </c>
      <c r="EC5" s="128"/>
      <c r="ED5" s="128"/>
      <c r="EE5" s="589" t="str">
        <f t="shared" si="16"/>
        <v>0</v>
      </c>
      <c r="EF5" s="135"/>
      <c r="EG5" s="646"/>
      <c r="EH5" s="589" t="str">
        <f t="shared" si="17"/>
        <v>0</v>
      </c>
      <c r="EI5" s="245"/>
      <c r="EJ5" s="600"/>
      <c r="EK5" s="595"/>
      <c r="EL5" s="596" t="str">
        <f t="shared" si="18"/>
        <v>0</v>
      </c>
      <c r="EM5" s="600"/>
      <c r="EN5" s="595"/>
      <c r="EO5" s="596" t="str">
        <f t="shared" si="19"/>
        <v>0</v>
      </c>
      <c r="EP5" s="600"/>
      <c r="EQ5" s="595"/>
      <c r="ER5" s="596" t="str">
        <f t="shared" si="20"/>
        <v>0</v>
      </c>
      <c r="ES5" s="603"/>
      <c r="ET5" s="622"/>
      <c r="EU5" s="597" t="str">
        <f t="shared" si="21"/>
        <v>0</v>
      </c>
      <c r="EV5" s="598"/>
      <c r="EW5" s="599"/>
      <c r="EX5" s="596" t="str">
        <f t="shared" si="22"/>
        <v>0</v>
      </c>
      <c r="EY5" s="600"/>
      <c r="EZ5" s="600"/>
      <c r="FA5" s="596" t="str">
        <f t="shared" si="23"/>
        <v>0</v>
      </c>
      <c r="FB5" s="600"/>
      <c r="FC5" s="600"/>
      <c r="FD5" s="596" t="str">
        <f t="shared" si="24"/>
        <v>0</v>
      </c>
      <c r="FE5" s="600"/>
      <c r="FF5" s="600"/>
      <c r="FG5" s="596" t="str">
        <f t="shared" si="25"/>
        <v>0</v>
      </c>
      <c r="FH5" s="600"/>
      <c r="FI5" s="600"/>
      <c r="FJ5" s="596" t="str">
        <f t="shared" si="26"/>
        <v>0</v>
      </c>
      <c r="FK5" s="600"/>
      <c r="FL5" s="600"/>
      <c r="FM5" s="600"/>
      <c r="FN5" s="600"/>
      <c r="FO5" s="600"/>
      <c r="FP5" s="598">
        <f t="shared" si="27"/>
        <v>0</v>
      </c>
      <c r="FQ5" s="600"/>
      <c r="FR5" s="600">
        <f>CW5</f>
        <v>41683</v>
      </c>
      <c r="FS5" s="623"/>
      <c r="FT5" s="623"/>
      <c r="FU5" s="627"/>
      <c r="FV5" s="627"/>
      <c r="FW5" s="628">
        <f t="shared" si="28"/>
        <v>0</v>
      </c>
      <c r="FX5" s="628">
        <f t="shared" si="29"/>
        <v>1389.4333333333334</v>
      </c>
      <c r="FY5" s="624"/>
      <c r="FZ5" s="641"/>
      <c r="GA5" s="624"/>
      <c r="GB5" s="624"/>
      <c r="GC5" s="476"/>
      <c r="GD5" s="447"/>
      <c r="GE5" s="10">
        <v>9522775</v>
      </c>
      <c r="GF5" s="477">
        <f>GP5+GT5+HA5+HT5+GY5+HE5</f>
        <v>9522775</v>
      </c>
      <c r="GG5" s="12">
        <f t="shared" si="30"/>
        <v>0</v>
      </c>
      <c r="GH5" s="12">
        <f t="shared" si="31"/>
        <v>1968.5892718342238</v>
      </c>
      <c r="GI5" s="12">
        <f t="shared" si="32"/>
        <v>186721.07843137256</v>
      </c>
      <c r="GJ5" s="10"/>
      <c r="GK5" s="11"/>
      <c r="GL5" s="12">
        <f t="shared" si="33"/>
        <v>0</v>
      </c>
      <c r="GM5" s="137">
        <f t="shared" si="34"/>
        <v>0</v>
      </c>
      <c r="GN5" s="138"/>
      <c r="GO5" s="10">
        <v>2932668</v>
      </c>
      <c r="GP5" s="15">
        <v>2932668</v>
      </c>
      <c r="GQ5" s="23">
        <f t="shared" si="35"/>
        <v>57503.294117647056</v>
      </c>
      <c r="GR5" s="38">
        <f t="shared" si="36"/>
        <v>0</v>
      </c>
      <c r="GS5" s="10">
        <v>6290107</v>
      </c>
      <c r="GT5" s="11">
        <f t="shared" si="37"/>
        <v>6290107</v>
      </c>
      <c r="GU5" s="13">
        <v>1887032</v>
      </c>
      <c r="GV5" s="13">
        <v>4403075</v>
      </c>
      <c r="GW5" s="38">
        <f t="shared" si="38"/>
        <v>0</v>
      </c>
      <c r="GX5" s="23">
        <f t="shared" si="39"/>
        <v>123335.43137254902</v>
      </c>
      <c r="GY5" s="11">
        <v>0</v>
      </c>
      <c r="GZ5" s="479">
        <v>300000</v>
      </c>
      <c r="HA5" s="15">
        <v>300000</v>
      </c>
      <c r="HB5" s="69"/>
      <c r="HC5" s="41">
        <f t="shared" si="40"/>
        <v>3.150342205922118E-2</v>
      </c>
      <c r="HD5" s="329"/>
      <c r="HE5" s="15">
        <v>0</v>
      </c>
      <c r="HF5" s="24">
        <f t="shared" si="48"/>
        <v>0</v>
      </c>
      <c r="HG5" s="23">
        <f t="shared" si="41"/>
        <v>5882.3529411764703</v>
      </c>
      <c r="HH5" s="52"/>
      <c r="HI5" s="24">
        <f t="shared" si="42"/>
        <v>0</v>
      </c>
      <c r="HJ5" s="51"/>
      <c r="HK5" s="51"/>
      <c r="HL5" s="40">
        <v>0</v>
      </c>
      <c r="HM5" s="40">
        <v>0</v>
      </c>
      <c r="HN5" s="23">
        <f t="shared" si="43"/>
        <v>63385.647058823532</v>
      </c>
      <c r="HO5" s="40">
        <v>0</v>
      </c>
      <c r="HP5" s="23">
        <f t="shared" si="44"/>
        <v>63385.647058823532</v>
      </c>
      <c r="HQ5" s="53">
        <f t="shared" si="45"/>
        <v>0.33946701460446144</v>
      </c>
      <c r="HR5" s="40"/>
      <c r="HS5" s="40"/>
      <c r="HT5" s="11">
        <v>0</v>
      </c>
      <c r="HU5" s="42">
        <f t="shared" si="46"/>
        <v>9522775</v>
      </c>
      <c r="HV5" s="245"/>
      <c r="HW5" s="245">
        <f t="shared" si="47"/>
        <v>0</v>
      </c>
      <c r="HX5" s="119"/>
      <c r="HY5" s="245"/>
      <c r="HZ5" s="245"/>
      <c r="IA5" s="119"/>
      <c r="IB5" s="119"/>
      <c r="IC5" s="245"/>
      <c r="ID5" s="119"/>
      <c r="IE5" s="245"/>
      <c r="IF5" s="119"/>
      <c r="IG5" s="245"/>
      <c r="IH5" s="120"/>
      <c r="II5" s="350"/>
      <c r="IJ5" s="341"/>
      <c r="IK5" s="341"/>
      <c r="IL5" s="128"/>
      <c r="IM5" s="245"/>
      <c r="IN5" s="128"/>
      <c r="IO5" s="245"/>
      <c r="IP5" s="351"/>
      <c r="IQ5" s="351"/>
      <c r="IR5" s="351"/>
      <c r="IS5" s="351"/>
      <c r="IT5" s="289"/>
      <c r="IU5" s="289"/>
      <c r="IV5" s="289"/>
      <c r="IW5" s="289"/>
      <c r="IX5" s="289"/>
      <c r="IY5" s="289"/>
      <c r="IZ5" s="245"/>
      <c r="JA5" s="128"/>
      <c r="JB5" s="120"/>
      <c r="JC5" s="128"/>
      <c r="JD5" s="128"/>
      <c r="JE5" s="120"/>
    </row>
    <row r="6" spans="1:265" ht="35.1" customHeight="1">
      <c r="A6" s="6" t="s">
        <v>115</v>
      </c>
      <c r="B6" s="7" t="s">
        <v>34</v>
      </c>
      <c r="C6" s="7" t="s">
        <v>118</v>
      </c>
      <c r="D6" s="7">
        <v>2011</v>
      </c>
      <c r="E6" s="7" t="s">
        <v>111</v>
      </c>
      <c r="F6" s="7"/>
      <c r="G6" s="7"/>
      <c r="H6" s="56" t="s">
        <v>265</v>
      </c>
      <c r="I6" s="56"/>
      <c r="J6" s="56"/>
      <c r="K6" s="435" t="s">
        <v>689</v>
      </c>
      <c r="L6" s="460"/>
      <c r="M6" s="460"/>
      <c r="N6" s="460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222"/>
      <c r="AB6" s="222"/>
      <c r="AC6" s="7" t="s">
        <v>16</v>
      </c>
      <c r="AD6" s="345">
        <f t="shared" si="0"/>
        <v>16</v>
      </c>
      <c r="AE6" s="8"/>
      <c r="AF6" s="7">
        <v>16</v>
      </c>
      <c r="AG6" s="56"/>
      <c r="AH6" s="56"/>
      <c r="AI6" s="9">
        <v>1432.77</v>
      </c>
      <c r="AJ6" s="85">
        <v>1432.77</v>
      </c>
      <c r="AK6" s="9">
        <f t="shared" si="1"/>
        <v>89.548124999999999</v>
      </c>
      <c r="AL6" s="60"/>
      <c r="AM6" s="60"/>
      <c r="AN6" s="60"/>
      <c r="AO6" s="60"/>
      <c r="AP6" s="60"/>
      <c r="AQ6" s="8"/>
      <c r="AR6" s="194"/>
      <c r="AS6" s="112"/>
      <c r="AT6" s="60">
        <v>2.5</v>
      </c>
      <c r="AU6" s="59" t="s">
        <v>621</v>
      </c>
      <c r="AV6" s="464" t="s">
        <v>125</v>
      </c>
      <c r="AW6" s="56"/>
      <c r="AX6" s="196">
        <v>40816</v>
      </c>
      <c r="AY6" s="467" t="s">
        <v>12</v>
      </c>
      <c r="AZ6" s="467" t="s">
        <v>234</v>
      </c>
      <c r="BA6" s="468"/>
      <c r="BB6" s="216">
        <v>40722</v>
      </c>
      <c r="BC6" s="102">
        <v>42291</v>
      </c>
      <c r="BD6" s="102"/>
      <c r="BE6" s="216"/>
      <c r="BF6" s="102"/>
      <c r="BG6" s="37"/>
      <c r="BH6" s="473"/>
      <c r="BI6" s="116"/>
      <c r="BJ6" s="116"/>
      <c r="BK6" s="200"/>
      <c r="BL6" s="200">
        <f t="shared" si="2"/>
        <v>731</v>
      </c>
      <c r="BM6" s="200">
        <f t="shared" si="3"/>
        <v>1096</v>
      </c>
      <c r="BN6" s="200"/>
      <c r="BO6" s="116"/>
      <c r="BP6" s="37"/>
      <c r="BQ6" s="116"/>
      <c r="BR6" s="106"/>
      <c r="BS6" s="106"/>
      <c r="BT6" s="106"/>
      <c r="BU6" s="167"/>
      <c r="BV6" s="333">
        <v>41266</v>
      </c>
      <c r="BW6" s="268"/>
      <c r="BX6" s="168"/>
      <c r="BY6" s="174" t="s">
        <v>177</v>
      </c>
      <c r="BZ6" s="268"/>
      <c r="CA6" s="373">
        <v>41137</v>
      </c>
      <c r="CB6" s="268">
        <v>41631</v>
      </c>
      <c r="CC6" s="681">
        <f>(CW6-CB6)/30</f>
        <v>2.1666666666666665</v>
      </c>
      <c r="CD6" s="511"/>
      <c r="CE6" s="381">
        <v>40940</v>
      </c>
      <c r="CF6" s="374">
        <v>2012</v>
      </c>
      <c r="CG6" s="495">
        <f t="shared" si="4"/>
        <v>7.2666666666666666</v>
      </c>
      <c r="CH6" s="135">
        <v>13</v>
      </c>
      <c r="CI6" s="135">
        <f t="shared" si="5"/>
        <v>14</v>
      </c>
      <c r="CJ6" s="135">
        <f t="shared" si="6"/>
        <v>24</v>
      </c>
      <c r="CK6" s="135">
        <f t="shared" si="7"/>
        <v>24</v>
      </c>
      <c r="CL6" s="135">
        <f t="shared" si="8"/>
        <v>11</v>
      </c>
      <c r="CM6" s="135">
        <f t="shared" si="9"/>
        <v>10</v>
      </c>
      <c r="CN6" s="245">
        <v>7110</v>
      </c>
      <c r="CO6" s="245">
        <f t="shared" si="10"/>
        <v>78210</v>
      </c>
      <c r="CP6" s="136" t="s">
        <v>133</v>
      </c>
      <c r="CQ6" s="695">
        <f t="shared" si="11"/>
        <v>41334</v>
      </c>
      <c r="CR6" s="390">
        <v>41688</v>
      </c>
      <c r="CS6" s="385"/>
      <c r="CT6" s="136">
        <v>41689</v>
      </c>
      <c r="CU6" s="136"/>
      <c r="CV6" s="687">
        <v>41696</v>
      </c>
      <c r="CW6" s="390">
        <v>41696</v>
      </c>
      <c r="CX6" s="674">
        <v>2014</v>
      </c>
      <c r="CY6" s="136"/>
      <c r="CZ6" s="128"/>
      <c r="DA6" s="128"/>
      <c r="DB6" s="128"/>
      <c r="DC6" s="128"/>
      <c r="DD6" s="128">
        <v>41787</v>
      </c>
      <c r="DE6" s="120"/>
      <c r="DF6" s="128">
        <f t="shared" si="12"/>
        <v>42053</v>
      </c>
      <c r="DG6" s="128" t="s">
        <v>133</v>
      </c>
      <c r="DH6" s="128"/>
      <c r="DI6" s="128">
        <v>41919</v>
      </c>
      <c r="DJ6" s="128">
        <v>41921</v>
      </c>
      <c r="DK6" s="128" t="s">
        <v>133</v>
      </c>
      <c r="DL6" s="128"/>
      <c r="DM6" s="119">
        <v>42290</v>
      </c>
      <c r="DN6" s="119"/>
      <c r="DO6" s="119"/>
      <c r="DP6" s="119"/>
      <c r="DQ6" s="206" t="s">
        <v>133</v>
      </c>
      <c r="DR6" s="206" t="s">
        <v>133</v>
      </c>
      <c r="DS6" s="128"/>
      <c r="DT6" s="128"/>
      <c r="DU6" s="128"/>
      <c r="DV6" s="589" t="str">
        <f t="shared" si="13"/>
        <v>0</v>
      </c>
      <c r="DW6" s="128"/>
      <c r="DX6" s="128"/>
      <c r="DY6" s="589" t="str">
        <f t="shared" si="14"/>
        <v>0</v>
      </c>
      <c r="DZ6" s="128"/>
      <c r="EA6" s="128"/>
      <c r="EB6" s="589" t="str">
        <f t="shared" si="15"/>
        <v>0</v>
      </c>
      <c r="EC6" s="128"/>
      <c r="ED6" s="128"/>
      <c r="EE6" s="589" t="str">
        <f t="shared" si="16"/>
        <v>0</v>
      </c>
      <c r="EF6" s="135"/>
      <c r="EG6" s="646"/>
      <c r="EH6" s="589" t="str">
        <f t="shared" si="17"/>
        <v>0</v>
      </c>
      <c r="EI6" s="245"/>
      <c r="EJ6" s="600"/>
      <c r="EK6" s="595"/>
      <c r="EL6" s="596" t="str">
        <f t="shared" si="18"/>
        <v>0</v>
      </c>
      <c r="EM6" s="600"/>
      <c r="EN6" s="595"/>
      <c r="EO6" s="596" t="str">
        <f t="shared" si="19"/>
        <v>0</v>
      </c>
      <c r="EP6" s="600"/>
      <c r="EQ6" s="595"/>
      <c r="ER6" s="596" t="str">
        <f t="shared" si="20"/>
        <v>0</v>
      </c>
      <c r="ES6" s="603"/>
      <c r="ET6" s="622"/>
      <c r="EU6" s="597" t="str">
        <f t="shared" si="21"/>
        <v>0</v>
      </c>
      <c r="EV6" s="598"/>
      <c r="EW6" s="599"/>
      <c r="EX6" s="596" t="str">
        <f t="shared" si="22"/>
        <v>0</v>
      </c>
      <c r="EY6" s="600"/>
      <c r="EZ6" s="600"/>
      <c r="FA6" s="596" t="str">
        <f t="shared" si="23"/>
        <v>0</v>
      </c>
      <c r="FB6" s="600"/>
      <c r="FC6" s="600"/>
      <c r="FD6" s="596" t="str">
        <f t="shared" si="24"/>
        <v>0</v>
      </c>
      <c r="FE6" s="600"/>
      <c r="FF6" s="600"/>
      <c r="FG6" s="596" t="str">
        <f t="shared" si="25"/>
        <v>0</v>
      </c>
      <c r="FH6" s="600"/>
      <c r="FI6" s="600"/>
      <c r="FJ6" s="596" t="str">
        <f t="shared" si="26"/>
        <v>0</v>
      </c>
      <c r="FK6" s="600"/>
      <c r="FL6" s="600"/>
      <c r="FM6" s="600"/>
      <c r="FN6" s="600"/>
      <c r="FO6" s="600"/>
      <c r="FP6" s="598">
        <f t="shared" si="27"/>
        <v>0</v>
      </c>
      <c r="FQ6" s="600"/>
      <c r="FR6" s="600"/>
      <c r="FS6" s="623"/>
      <c r="FT6" s="623"/>
      <c r="FU6" s="627"/>
      <c r="FV6" s="627"/>
      <c r="FW6" s="628">
        <f t="shared" si="28"/>
        <v>0</v>
      </c>
      <c r="FX6" s="628">
        <f t="shared" si="29"/>
        <v>0</v>
      </c>
      <c r="FY6" s="624"/>
      <c r="FZ6" s="641"/>
      <c r="GA6" s="624"/>
      <c r="GB6" s="624"/>
      <c r="GC6" s="476"/>
      <c r="GD6" s="447"/>
      <c r="GE6" s="10">
        <v>2817333</v>
      </c>
      <c r="GF6" s="477">
        <f>GP6+GT6+HA6+HT6+HB6+HE6</f>
        <v>2817333</v>
      </c>
      <c r="GG6" s="12">
        <f t="shared" si="30"/>
        <v>0</v>
      </c>
      <c r="GH6" s="12">
        <f t="shared" si="31"/>
        <v>1966.3539856362152</v>
      </c>
      <c r="GI6" s="12">
        <f t="shared" si="32"/>
        <v>176083.3125</v>
      </c>
      <c r="GJ6" s="10"/>
      <c r="GK6" s="11"/>
      <c r="GL6" s="12">
        <f t="shared" si="33"/>
        <v>0</v>
      </c>
      <c r="GM6" s="137">
        <f t="shared" si="34"/>
        <v>0</v>
      </c>
      <c r="GN6" s="138"/>
      <c r="GO6" s="10">
        <v>853424</v>
      </c>
      <c r="GP6" s="15">
        <v>853424</v>
      </c>
      <c r="GQ6" s="23">
        <f t="shared" si="35"/>
        <v>53339</v>
      </c>
      <c r="GR6" s="38">
        <f t="shared" si="36"/>
        <v>0</v>
      </c>
      <c r="GS6" s="10">
        <v>1530227</v>
      </c>
      <c r="GT6" s="11">
        <f t="shared" si="37"/>
        <v>1530227</v>
      </c>
      <c r="GU6" s="13">
        <v>304961</v>
      </c>
      <c r="GV6" s="13">
        <v>1225266</v>
      </c>
      <c r="GW6" s="38">
        <f t="shared" si="38"/>
        <v>0</v>
      </c>
      <c r="GX6" s="23">
        <f t="shared" si="39"/>
        <v>95639.1875</v>
      </c>
      <c r="GY6" s="11">
        <v>0</v>
      </c>
      <c r="GZ6" s="479">
        <f>380000+41063</f>
        <v>421063</v>
      </c>
      <c r="HA6" s="15">
        <v>380000</v>
      </c>
      <c r="HB6" s="69"/>
      <c r="HC6" s="41">
        <f t="shared" si="40"/>
        <v>0.13487933446277028</v>
      </c>
      <c r="HD6" s="329"/>
      <c r="HE6" s="15">
        <v>53682</v>
      </c>
      <c r="HF6" s="24">
        <f t="shared" si="48"/>
        <v>-41063</v>
      </c>
      <c r="HG6" s="23">
        <f t="shared" si="41"/>
        <v>23750</v>
      </c>
      <c r="HH6" s="52"/>
      <c r="HI6" s="24">
        <f t="shared" si="42"/>
        <v>-2566.4375</v>
      </c>
      <c r="HJ6" s="51"/>
      <c r="HK6" s="51"/>
      <c r="HL6" s="40">
        <v>0</v>
      </c>
      <c r="HM6" s="40">
        <v>0</v>
      </c>
      <c r="HN6" s="23">
        <f t="shared" si="43"/>
        <v>77089</v>
      </c>
      <c r="HO6" s="40">
        <v>0</v>
      </c>
      <c r="HP6" s="23">
        <f t="shared" si="44"/>
        <v>77089</v>
      </c>
      <c r="HQ6" s="53">
        <f t="shared" si="45"/>
        <v>0.46171877778297693</v>
      </c>
      <c r="HR6" s="40">
        <v>145958</v>
      </c>
      <c r="HS6" s="40"/>
      <c r="HT6" s="11">
        <v>0</v>
      </c>
      <c r="HU6" s="42">
        <f t="shared" si="46"/>
        <v>2817333</v>
      </c>
      <c r="HV6" s="245"/>
      <c r="HW6" s="245">
        <f t="shared" si="47"/>
        <v>0</v>
      </c>
      <c r="HX6" s="119"/>
      <c r="HY6" s="245"/>
      <c r="HZ6" s="245"/>
      <c r="IA6" s="119"/>
      <c r="IB6" s="119"/>
      <c r="IC6" s="245"/>
      <c r="ID6" s="119"/>
      <c r="IE6" s="245"/>
      <c r="IF6" s="119"/>
      <c r="IG6" s="245"/>
      <c r="IH6" s="120"/>
      <c r="II6" s="350"/>
      <c r="IJ6" s="341"/>
      <c r="IK6" s="341"/>
      <c r="IL6" s="128"/>
      <c r="IM6" s="245"/>
      <c r="IN6" s="128"/>
      <c r="IO6" s="245"/>
      <c r="IP6" s="351"/>
      <c r="IQ6" s="351"/>
      <c r="IR6" s="351"/>
      <c r="IS6" s="351"/>
      <c r="IT6" s="289"/>
      <c r="IU6" s="289"/>
      <c r="IV6" s="289"/>
      <c r="IW6" s="289"/>
      <c r="IX6" s="289"/>
      <c r="IY6" s="289"/>
      <c r="IZ6" s="245"/>
      <c r="JA6" s="128"/>
      <c r="JB6" s="120"/>
      <c r="JC6" s="128"/>
      <c r="JD6" s="128"/>
      <c r="JE6" s="120"/>
    </row>
    <row r="7" spans="1:265" ht="35.1" customHeight="1">
      <c r="A7" s="6" t="s">
        <v>319</v>
      </c>
      <c r="B7" s="7" t="s">
        <v>107</v>
      </c>
      <c r="C7" s="7" t="s">
        <v>119</v>
      </c>
      <c r="D7" s="7">
        <v>2011</v>
      </c>
      <c r="E7" s="7" t="s">
        <v>110</v>
      </c>
      <c r="F7" s="7" t="s">
        <v>113</v>
      </c>
      <c r="G7" s="7"/>
      <c r="H7" s="56" t="s">
        <v>265</v>
      </c>
      <c r="I7" s="56"/>
      <c r="J7" s="56"/>
      <c r="K7" s="275"/>
      <c r="L7" s="460"/>
      <c r="M7" s="460"/>
      <c r="N7" s="460"/>
      <c r="O7" s="219">
        <v>4531</v>
      </c>
      <c r="P7" s="219">
        <f>Q7</f>
        <v>799078</v>
      </c>
      <c r="Q7" s="219">
        <v>799078</v>
      </c>
      <c r="R7" s="219">
        <f>P7/AD7</f>
        <v>34742.521739130432</v>
      </c>
      <c r="S7" s="219">
        <f>P7/O7</f>
        <v>176.35797837122047</v>
      </c>
      <c r="T7" s="219">
        <f>Q7/O7</f>
        <v>176.35797837122047</v>
      </c>
      <c r="U7" s="219">
        <f>Q7/AJ7</f>
        <v>416.95086825847386</v>
      </c>
      <c r="V7" s="219">
        <f>Q7/AD7</f>
        <v>34742.521739130432</v>
      </c>
      <c r="W7" s="219">
        <f>O7/AD7</f>
        <v>197</v>
      </c>
      <c r="X7" s="220"/>
      <c r="Y7" s="221">
        <f>AJ7/O7</f>
        <v>0.42297064665636724</v>
      </c>
      <c r="Z7" s="220" t="s">
        <v>219</v>
      </c>
      <c r="AA7" s="222"/>
      <c r="AB7" s="222"/>
      <c r="AC7" s="7" t="s">
        <v>15</v>
      </c>
      <c r="AD7" s="345">
        <f t="shared" si="0"/>
        <v>23</v>
      </c>
      <c r="AE7" s="7">
        <v>23</v>
      </c>
      <c r="AF7" s="463"/>
      <c r="AG7" s="443"/>
      <c r="AH7" s="443"/>
      <c r="AI7" s="9">
        <v>1916.48</v>
      </c>
      <c r="AJ7" s="85">
        <v>1916.48</v>
      </c>
      <c r="AK7" s="9">
        <f t="shared" si="1"/>
        <v>83.325217391304349</v>
      </c>
      <c r="AL7" s="60"/>
      <c r="AM7" s="60"/>
      <c r="AN7" s="60"/>
      <c r="AO7" s="60"/>
      <c r="AP7" s="60"/>
      <c r="AQ7" s="9"/>
      <c r="AR7" s="79"/>
      <c r="AS7" s="81">
        <f>AR7/O7</f>
        <v>0</v>
      </c>
      <c r="AT7" s="60">
        <v>2.5</v>
      </c>
      <c r="AU7" s="59" t="s">
        <v>621</v>
      </c>
      <c r="AV7" s="464" t="s">
        <v>126</v>
      </c>
      <c r="AW7" s="56"/>
      <c r="AX7" s="196">
        <v>40816</v>
      </c>
      <c r="AY7" s="467" t="s">
        <v>12</v>
      </c>
      <c r="AZ7" s="467" t="s">
        <v>233</v>
      </c>
      <c r="BA7" s="468"/>
      <c r="BB7" s="216">
        <v>40730</v>
      </c>
      <c r="BC7" s="102"/>
      <c r="BD7" s="102"/>
      <c r="BE7" s="216"/>
      <c r="BF7" s="102"/>
      <c r="BG7" s="37"/>
      <c r="BH7" s="473"/>
      <c r="BI7" s="116"/>
      <c r="BJ7" s="116"/>
      <c r="BK7" s="200"/>
      <c r="BL7" s="200">
        <f t="shared" si="2"/>
        <v>731</v>
      </c>
      <c r="BM7" s="200">
        <f t="shared" si="3"/>
        <v>1096</v>
      </c>
      <c r="BN7" s="200"/>
      <c r="BO7" s="116"/>
      <c r="BP7" s="37"/>
      <c r="BQ7" s="116"/>
      <c r="BR7" s="106"/>
      <c r="BS7" s="106"/>
      <c r="BT7" s="106"/>
      <c r="BU7" s="167" t="s">
        <v>143</v>
      </c>
      <c r="BV7" s="333">
        <v>41264</v>
      </c>
      <c r="BW7" s="450"/>
      <c r="BX7" s="660">
        <v>3694417.2380019594</v>
      </c>
      <c r="BY7" s="174" t="s">
        <v>177</v>
      </c>
      <c r="BZ7" s="268"/>
      <c r="CA7" s="373">
        <v>40984</v>
      </c>
      <c r="CB7" s="268">
        <v>41364</v>
      </c>
      <c r="CC7" s="681">
        <f>(CW7-CB7)/30</f>
        <v>4.0666666666666664</v>
      </c>
      <c r="CD7" s="511"/>
      <c r="CE7" s="381">
        <v>40898</v>
      </c>
      <c r="CF7" s="374">
        <v>2011</v>
      </c>
      <c r="CG7" s="495">
        <f t="shared" si="4"/>
        <v>5.6</v>
      </c>
      <c r="CH7" s="135">
        <v>16</v>
      </c>
      <c r="CI7" s="135">
        <f t="shared" si="5"/>
        <v>17</v>
      </c>
      <c r="CJ7" s="135">
        <f t="shared" si="6"/>
        <v>18</v>
      </c>
      <c r="CK7" s="135">
        <f t="shared" si="7"/>
        <v>19</v>
      </c>
      <c r="CL7" s="135">
        <f t="shared" si="8"/>
        <v>2</v>
      </c>
      <c r="CM7" s="135">
        <f t="shared" si="9"/>
        <v>2</v>
      </c>
      <c r="CN7" s="245">
        <v>12116</v>
      </c>
      <c r="CO7" s="245">
        <f t="shared" si="10"/>
        <v>24232</v>
      </c>
      <c r="CP7" s="128" t="s">
        <v>133</v>
      </c>
      <c r="CQ7" s="694">
        <f t="shared" si="11"/>
        <v>41385</v>
      </c>
      <c r="CR7" s="390">
        <v>41473</v>
      </c>
      <c r="CS7" s="385"/>
      <c r="CT7" s="119">
        <v>41470</v>
      </c>
      <c r="CU7" s="119"/>
      <c r="CV7" s="687">
        <v>41486</v>
      </c>
      <c r="CW7" s="390">
        <v>41486</v>
      </c>
      <c r="CX7" s="515">
        <v>2013</v>
      </c>
      <c r="CY7" s="136"/>
      <c r="CZ7" s="128"/>
      <c r="DA7" s="128"/>
      <c r="DB7" s="128"/>
      <c r="DC7" s="128"/>
      <c r="DD7" s="128"/>
      <c r="DE7" s="120"/>
      <c r="DF7" s="128">
        <f t="shared" si="12"/>
        <v>41838</v>
      </c>
      <c r="DG7" s="128" t="s">
        <v>133</v>
      </c>
      <c r="DH7" s="128"/>
      <c r="DI7" s="128"/>
      <c r="DJ7" s="193" t="s">
        <v>313</v>
      </c>
      <c r="DK7" s="193" t="s">
        <v>133</v>
      </c>
      <c r="DL7" s="193"/>
      <c r="DM7" s="119">
        <v>42664</v>
      </c>
      <c r="DN7" s="119"/>
      <c r="DO7" s="206"/>
      <c r="DP7" s="206"/>
      <c r="DQ7" s="206" t="s">
        <v>133</v>
      </c>
      <c r="DR7" s="206" t="s">
        <v>133</v>
      </c>
      <c r="DS7" s="128"/>
      <c r="DT7" s="128"/>
      <c r="DU7" s="128"/>
      <c r="DV7" s="589" t="str">
        <f t="shared" si="13"/>
        <v>0</v>
      </c>
      <c r="DW7" s="128"/>
      <c r="DX7" s="128"/>
      <c r="DY7" s="589" t="str">
        <f t="shared" si="14"/>
        <v>0</v>
      </c>
      <c r="DZ7" s="128"/>
      <c r="EA7" s="128"/>
      <c r="EB7" s="589" t="str">
        <f t="shared" si="15"/>
        <v>0</v>
      </c>
      <c r="EC7" s="128"/>
      <c r="ED7" s="128"/>
      <c r="EE7" s="589" t="str">
        <f t="shared" si="16"/>
        <v>0</v>
      </c>
      <c r="EF7" s="135"/>
      <c r="EG7" s="646"/>
      <c r="EH7" s="589" t="str">
        <f t="shared" si="17"/>
        <v>0</v>
      </c>
      <c r="EI7" s="245"/>
      <c r="EJ7" s="600"/>
      <c r="EK7" s="595"/>
      <c r="EL7" s="596" t="str">
        <f t="shared" si="18"/>
        <v>0</v>
      </c>
      <c r="EM7" s="600"/>
      <c r="EN7" s="595"/>
      <c r="EO7" s="596" t="str">
        <f t="shared" si="19"/>
        <v>0</v>
      </c>
      <c r="EP7" s="600"/>
      <c r="EQ7" s="595"/>
      <c r="ER7" s="596" t="str">
        <f t="shared" si="20"/>
        <v>0</v>
      </c>
      <c r="ES7" s="603"/>
      <c r="ET7" s="622"/>
      <c r="EU7" s="597" t="str">
        <f t="shared" si="21"/>
        <v>0</v>
      </c>
      <c r="EV7" s="598"/>
      <c r="EW7" s="599"/>
      <c r="EX7" s="596" t="str">
        <f t="shared" si="22"/>
        <v>0</v>
      </c>
      <c r="EY7" s="600"/>
      <c r="EZ7" s="600"/>
      <c r="FA7" s="596" t="str">
        <f t="shared" si="23"/>
        <v>0</v>
      </c>
      <c r="FB7" s="600"/>
      <c r="FC7" s="600"/>
      <c r="FD7" s="596" t="str">
        <f t="shared" si="24"/>
        <v>0</v>
      </c>
      <c r="FE7" s="600"/>
      <c r="FF7" s="600"/>
      <c r="FG7" s="596" t="str">
        <f t="shared" si="25"/>
        <v>0</v>
      </c>
      <c r="FH7" s="600"/>
      <c r="FI7" s="600"/>
      <c r="FJ7" s="596" t="str">
        <f t="shared" si="26"/>
        <v>0</v>
      </c>
      <c r="FK7" s="600"/>
      <c r="FL7" s="600"/>
      <c r="FM7" s="600"/>
      <c r="FN7" s="600"/>
      <c r="FO7" s="600"/>
      <c r="FP7" s="598">
        <f t="shared" si="27"/>
        <v>0</v>
      </c>
      <c r="FQ7" s="600"/>
      <c r="FR7" s="600">
        <f>CW7</f>
        <v>41486</v>
      </c>
      <c r="FS7" s="623"/>
      <c r="FT7" s="623"/>
      <c r="FU7" s="627"/>
      <c r="FV7" s="627"/>
      <c r="FW7" s="628">
        <f t="shared" si="28"/>
        <v>0</v>
      </c>
      <c r="FX7" s="628">
        <f t="shared" si="29"/>
        <v>1382.8666666666666</v>
      </c>
      <c r="FY7" s="624"/>
      <c r="FZ7" s="641"/>
      <c r="GA7" s="624"/>
      <c r="GB7" s="624"/>
      <c r="GC7" s="476"/>
      <c r="GD7" s="447"/>
      <c r="GE7" s="10">
        <v>4024614</v>
      </c>
      <c r="GF7" s="477">
        <f>GP7+GT7+HA7+HT7+GY7+HE7</f>
        <v>4024614</v>
      </c>
      <c r="GG7" s="12">
        <f t="shared" si="30"/>
        <v>0</v>
      </c>
      <c r="GH7" s="12">
        <f t="shared" si="31"/>
        <v>2100.0031307396894</v>
      </c>
      <c r="GI7" s="12">
        <f t="shared" si="32"/>
        <v>174983.21739130435</v>
      </c>
      <c r="GJ7" s="10">
        <v>3671820</v>
      </c>
      <c r="GK7" s="11"/>
      <c r="GL7" s="12">
        <f t="shared" si="33"/>
        <v>-3671820</v>
      </c>
      <c r="GM7" s="137">
        <f t="shared" si="34"/>
        <v>0.93150006932341833</v>
      </c>
      <c r="GN7" s="138"/>
      <c r="GO7" s="10">
        <v>1191366</v>
      </c>
      <c r="GP7" s="15">
        <v>1191366</v>
      </c>
      <c r="GQ7" s="23">
        <f t="shared" si="35"/>
        <v>51798.521739130432</v>
      </c>
      <c r="GR7" s="38">
        <f t="shared" si="36"/>
        <v>0</v>
      </c>
      <c r="GS7" s="10">
        <v>2593661</v>
      </c>
      <c r="GT7" s="11">
        <f t="shared" si="37"/>
        <v>2593661</v>
      </c>
      <c r="GU7" s="13">
        <v>592565</v>
      </c>
      <c r="GV7" s="13">
        <v>2001096</v>
      </c>
      <c r="GW7" s="38">
        <f t="shared" si="38"/>
        <v>0</v>
      </c>
      <c r="GX7" s="23">
        <f t="shared" si="39"/>
        <v>112767.86956521739</v>
      </c>
      <c r="GY7" s="11">
        <v>0</v>
      </c>
      <c r="GZ7" s="479">
        <v>239587</v>
      </c>
      <c r="HA7" s="15">
        <v>239587</v>
      </c>
      <c r="HB7" s="69"/>
      <c r="HC7" s="41">
        <f t="shared" si="40"/>
        <v>5.9530429502059078E-2</v>
      </c>
      <c r="HD7" s="329"/>
      <c r="HE7" s="15">
        <v>0</v>
      </c>
      <c r="HF7" s="24">
        <f t="shared" si="48"/>
        <v>0</v>
      </c>
      <c r="HG7" s="23">
        <f t="shared" si="41"/>
        <v>10416.826086956522</v>
      </c>
      <c r="HH7" s="52"/>
      <c r="HI7" s="24">
        <f t="shared" si="42"/>
        <v>0</v>
      </c>
      <c r="HJ7" s="51"/>
      <c r="HK7" s="51"/>
      <c r="HL7" s="40">
        <v>0</v>
      </c>
      <c r="HM7" s="40">
        <v>0</v>
      </c>
      <c r="HN7" s="23">
        <f t="shared" si="43"/>
        <v>62215.34782608696</v>
      </c>
      <c r="HO7" s="40">
        <v>0</v>
      </c>
      <c r="HP7" s="23">
        <f t="shared" si="44"/>
        <v>62215.34782608696</v>
      </c>
      <c r="HQ7" s="53">
        <f t="shared" si="45"/>
        <v>0.3555503707933233</v>
      </c>
      <c r="HR7" s="40"/>
      <c r="HS7" s="40"/>
      <c r="HT7" s="11">
        <v>0</v>
      </c>
      <c r="HU7" s="42">
        <f t="shared" si="46"/>
        <v>4024614</v>
      </c>
      <c r="HV7" s="245"/>
      <c r="HW7" s="245">
        <f t="shared" si="47"/>
        <v>0</v>
      </c>
      <c r="HX7" s="119"/>
      <c r="HY7" s="245"/>
      <c r="HZ7" s="245"/>
      <c r="IA7" s="119"/>
      <c r="IB7" s="119"/>
      <c r="IC7" s="245"/>
      <c r="ID7" s="119"/>
      <c r="IE7" s="245"/>
      <c r="IF7" s="119"/>
      <c r="IG7" s="245"/>
      <c r="IH7" s="120"/>
      <c r="II7" s="350"/>
      <c r="IJ7" s="341"/>
      <c r="IK7" s="341"/>
      <c r="IL7" s="128"/>
      <c r="IM7" s="245"/>
      <c r="IN7" s="128"/>
      <c r="IO7" s="245"/>
      <c r="IP7" s="351"/>
      <c r="IQ7" s="351"/>
      <c r="IR7" s="351"/>
      <c r="IS7" s="351"/>
      <c r="IT7" s="289"/>
      <c r="IU7" s="289"/>
      <c r="IV7" s="289"/>
      <c r="IW7" s="289"/>
      <c r="IX7" s="289"/>
      <c r="IY7" s="289"/>
      <c r="IZ7" s="245"/>
      <c r="JA7" s="128"/>
      <c r="JB7" s="120"/>
      <c r="JC7" s="128"/>
      <c r="JD7" s="128"/>
      <c r="JE7" s="120"/>
    </row>
    <row r="8" spans="1:265" s="26" customFormat="1" ht="58.5" customHeight="1">
      <c r="A8" s="6" t="s">
        <v>114</v>
      </c>
      <c r="B8" s="7" t="s">
        <v>34</v>
      </c>
      <c r="C8" s="7" t="s">
        <v>118</v>
      </c>
      <c r="D8" s="7">
        <v>2011</v>
      </c>
      <c r="E8" s="7" t="s">
        <v>111</v>
      </c>
      <c r="F8" s="7"/>
      <c r="G8" s="7"/>
      <c r="H8" s="56"/>
      <c r="I8" s="56"/>
      <c r="J8" s="56"/>
      <c r="K8" s="435" t="s">
        <v>689</v>
      </c>
      <c r="L8" s="460"/>
      <c r="M8" s="460"/>
      <c r="N8" s="460"/>
      <c r="O8" s="219">
        <v>8131</v>
      </c>
      <c r="P8" s="219">
        <v>227747.25</v>
      </c>
      <c r="Q8" s="219">
        <v>178042</v>
      </c>
      <c r="R8" s="219" t="e">
        <f>P8/(AD8+#REF!)</f>
        <v>#REF!</v>
      </c>
      <c r="S8" s="219">
        <f>P8/O8</f>
        <v>28.009746648628706</v>
      </c>
      <c r="T8" s="219">
        <f>Q8/O8</f>
        <v>21.896691673840856</v>
      </c>
      <c r="U8" s="219" t="e">
        <f>Q8/(AJ8+#REF!)</f>
        <v>#REF!</v>
      </c>
      <c r="V8" s="219" t="e">
        <f>Q8/(AD8+#REF!)</f>
        <v>#REF!</v>
      </c>
      <c r="W8" s="219" t="e">
        <f>O8/(AD8+#REF!)</f>
        <v>#REF!</v>
      </c>
      <c r="X8" s="220">
        <v>1079</v>
      </c>
      <c r="Y8" s="221" t="e">
        <f>(AJ8+#REF!)/O8</f>
        <v>#REF!</v>
      </c>
      <c r="Z8" s="220" t="s">
        <v>215</v>
      </c>
      <c r="AA8" s="222"/>
      <c r="AB8" s="222"/>
      <c r="AC8" s="7" t="s">
        <v>15</v>
      </c>
      <c r="AD8" s="345">
        <f t="shared" si="0"/>
        <v>4</v>
      </c>
      <c r="AE8" s="7">
        <v>4</v>
      </c>
      <c r="AF8" s="463"/>
      <c r="AG8" s="443"/>
      <c r="AH8" s="443"/>
      <c r="AI8" s="9">
        <v>317.76</v>
      </c>
      <c r="AJ8" s="85">
        <v>317.76</v>
      </c>
      <c r="AK8" s="9">
        <f t="shared" si="1"/>
        <v>79.44</v>
      </c>
      <c r="AL8" s="60"/>
      <c r="AM8" s="60"/>
      <c r="AN8" s="60"/>
      <c r="AO8" s="60"/>
      <c r="AP8" s="60"/>
      <c r="AQ8" s="9">
        <f>830+889+461</f>
        <v>2180</v>
      </c>
      <c r="AR8" s="79">
        <v>850</v>
      </c>
      <c r="AS8" s="81">
        <f>AR8/O8</f>
        <v>0.10453818718484811</v>
      </c>
      <c r="AT8" s="60">
        <v>2.5</v>
      </c>
      <c r="AU8" s="59" t="s">
        <v>621</v>
      </c>
      <c r="AV8" s="464" t="s">
        <v>125</v>
      </c>
      <c r="AW8" s="56"/>
      <c r="AX8" s="196">
        <v>40816</v>
      </c>
      <c r="AY8" s="467" t="s">
        <v>12</v>
      </c>
      <c r="AZ8" s="467" t="s">
        <v>234</v>
      </c>
      <c r="BA8" s="468"/>
      <c r="BB8" s="216">
        <v>40730</v>
      </c>
      <c r="BC8" s="102">
        <v>42291</v>
      </c>
      <c r="BD8" s="102"/>
      <c r="BE8" s="216"/>
      <c r="BF8" s="102"/>
      <c r="BG8" s="37"/>
      <c r="BH8" s="473"/>
      <c r="BI8" s="116"/>
      <c r="BJ8" s="116"/>
      <c r="BK8" s="200"/>
      <c r="BL8" s="200">
        <f t="shared" si="2"/>
        <v>731</v>
      </c>
      <c r="BM8" s="200">
        <f t="shared" si="3"/>
        <v>1096</v>
      </c>
      <c r="BN8" s="200"/>
      <c r="BO8" s="116"/>
      <c r="BP8" s="37"/>
      <c r="BQ8" s="116"/>
      <c r="BR8" s="106"/>
      <c r="BS8" s="106"/>
      <c r="BT8" s="106"/>
      <c r="BU8" s="167" t="s">
        <v>72</v>
      </c>
      <c r="BV8" s="333">
        <v>41266</v>
      </c>
      <c r="BW8" s="268"/>
      <c r="BX8" s="168"/>
      <c r="BY8" s="174" t="s">
        <v>177</v>
      </c>
      <c r="BZ8" s="268"/>
      <c r="CA8" s="373">
        <v>41137</v>
      </c>
      <c r="CB8" s="450"/>
      <c r="CC8" s="450"/>
      <c r="CD8" s="511"/>
      <c r="CE8" s="381">
        <v>40940</v>
      </c>
      <c r="CF8" s="374">
        <v>2012</v>
      </c>
      <c r="CG8" s="495">
        <f t="shared" si="4"/>
        <v>7</v>
      </c>
      <c r="CH8" s="135">
        <v>13</v>
      </c>
      <c r="CI8" s="135">
        <f t="shared" si="5"/>
        <v>14</v>
      </c>
      <c r="CJ8" s="135">
        <f t="shared" si="6"/>
        <v>24</v>
      </c>
      <c r="CK8" s="135">
        <f t="shared" si="7"/>
        <v>24</v>
      </c>
      <c r="CL8" s="135">
        <f t="shared" si="8"/>
        <v>11</v>
      </c>
      <c r="CM8" s="135">
        <f t="shared" si="9"/>
        <v>10</v>
      </c>
      <c r="CN8" s="245">
        <v>2035</v>
      </c>
      <c r="CO8" s="245">
        <f t="shared" si="10"/>
        <v>22385</v>
      </c>
      <c r="CP8" s="136" t="s">
        <v>133</v>
      </c>
      <c r="CQ8" s="695">
        <f t="shared" si="11"/>
        <v>41334</v>
      </c>
      <c r="CR8" s="390">
        <v>41688</v>
      </c>
      <c r="CS8" s="385"/>
      <c r="CT8" s="136">
        <v>41689</v>
      </c>
      <c r="CU8" s="136"/>
      <c r="CV8" s="687">
        <v>41696</v>
      </c>
      <c r="CW8" s="390">
        <v>41696</v>
      </c>
      <c r="CX8" s="674">
        <v>2014</v>
      </c>
      <c r="CY8" s="136"/>
      <c r="CZ8" s="128"/>
      <c r="DA8" s="128"/>
      <c r="DB8" s="128"/>
      <c r="DC8" s="128"/>
      <c r="DD8" s="128">
        <v>41787</v>
      </c>
      <c r="DE8" s="120"/>
      <c r="DF8" s="128">
        <f t="shared" si="12"/>
        <v>42053</v>
      </c>
      <c r="DG8" s="128" t="s">
        <v>133</v>
      </c>
      <c r="DH8" s="128"/>
      <c r="DI8" s="128">
        <v>41919</v>
      </c>
      <c r="DJ8" s="128">
        <v>41921</v>
      </c>
      <c r="DK8" s="128" t="s">
        <v>133</v>
      </c>
      <c r="DL8" s="128"/>
      <c r="DM8" s="119">
        <v>42290</v>
      </c>
      <c r="DN8" s="119"/>
      <c r="DO8" s="119"/>
      <c r="DP8" s="119"/>
      <c r="DQ8" s="128"/>
      <c r="DR8" s="128"/>
      <c r="DS8" s="128"/>
      <c r="DT8" s="128"/>
      <c r="DU8" s="128"/>
      <c r="DV8" s="589" t="str">
        <f t="shared" si="13"/>
        <v>0</v>
      </c>
      <c r="DW8" s="128"/>
      <c r="DX8" s="128"/>
      <c r="DY8" s="589" t="str">
        <f t="shared" si="14"/>
        <v>0</v>
      </c>
      <c r="DZ8" s="128"/>
      <c r="EA8" s="128"/>
      <c r="EB8" s="589" t="str">
        <f t="shared" si="15"/>
        <v>0</v>
      </c>
      <c r="EC8" s="128"/>
      <c r="ED8" s="128"/>
      <c r="EE8" s="589" t="str">
        <f t="shared" si="16"/>
        <v>0</v>
      </c>
      <c r="EF8" s="135"/>
      <c r="EG8" s="646"/>
      <c r="EH8" s="589" t="str">
        <f t="shared" si="17"/>
        <v>0</v>
      </c>
      <c r="EI8" s="245"/>
      <c r="EJ8" s="600"/>
      <c r="EK8" s="595"/>
      <c r="EL8" s="596" t="str">
        <f t="shared" si="18"/>
        <v>0</v>
      </c>
      <c r="EM8" s="600"/>
      <c r="EN8" s="595"/>
      <c r="EO8" s="596" t="str">
        <f t="shared" si="19"/>
        <v>0</v>
      </c>
      <c r="EP8" s="600"/>
      <c r="EQ8" s="595"/>
      <c r="ER8" s="596" t="str">
        <f t="shared" si="20"/>
        <v>0</v>
      </c>
      <c r="ES8" s="603"/>
      <c r="ET8" s="622"/>
      <c r="EU8" s="597" t="str">
        <f t="shared" si="21"/>
        <v>0</v>
      </c>
      <c r="EV8" s="598"/>
      <c r="EW8" s="599"/>
      <c r="EX8" s="596" t="str">
        <f t="shared" si="22"/>
        <v>0</v>
      </c>
      <c r="EY8" s="600"/>
      <c r="EZ8" s="600"/>
      <c r="FA8" s="596" t="str">
        <f t="shared" si="23"/>
        <v>0</v>
      </c>
      <c r="FB8" s="600"/>
      <c r="FC8" s="600"/>
      <c r="FD8" s="596" t="str">
        <f t="shared" si="24"/>
        <v>0</v>
      </c>
      <c r="FE8" s="600"/>
      <c r="FF8" s="600"/>
      <c r="FG8" s="596" t="str">
        <f t="shared" si="25"/>
        <v>0</v>
      </c>
      <c r="FH8" s="600"/>
      <c r="FI8" s="600"/>
      <c r="FJ8" s="596" t="str">
        <f t="shared" si="26"/>
        <v>0</v>
      </c>
      <c r="FK8" s="600"/>
      <c r="FL8" s="600"/>
      <c r="FM8" s="600"/>
      <c r="FN8" s="600"/>
      <c r="FO8" s="600"/>
      <c r="FP8" s="598">
        <f t="shared" si="27"/>
        <v>0</v>
      </c>
      <c r="FQ8" s="600"/>
      <c r="FR8" s="600">
        <f>CW8</f>
        <v>41696</v>
      </c>
      <c r="FS8" s="623"/>
      <c r="FT8" s="623"/>
      <c r="FU8" s="627"/>
      <c r="FV8" s="627"/>
      <c r="FW8" s="628">
        <f t="shared" si="28"/>
        <v>0</v>
      </c>
      <c r="FX8" s="628">
        <f t="shared" si="29"/>
        <v>1389.8666666666666</v>
      </c>
      <c r="FY8" s="629"/>
      <c r="FZ8" s="656"/>
      <c r="GA8" s="629"/>
      <c r="GB8" s="629"/>
      <c r="GC8" s="476"/>
      <c r="GD8" s="447"/>
      <c r="GE8" s="10">
        <v>642137</v>
      </c>
      <c r="GF8" s="477">
        <f>GP8+GT8+HA8+HT8+GY8+HE8</f>
        <v>642137</v>
      </c>
      <c r="GG8" s="12">
        <f t="shared" si="30"/>
        <v>0</v>
      </c>
      <c r="GH8" s="12">
        <f t="shared" si="31"/>
        <v>2020.8238922457201</v>
      </c>
      <c r="GI8" s="12">
        <f t="shared" si="32"/>
        <v>160534.25</v>
      </c>
      <c r="GJ8" s="10"/>
      <c r="GK8" s="11"/>
      <c r="GL8" s="12">
        <f t="shared" si="33"/>
        <v>0</v>
      </c>
      <c r="GM8" s="137">
        <f t="shared" si="34"/>
        <v>0</v>
      </c>
      <c r="GN8" s="138"/>
      <c r="GO8" s="10">
        <v>75000</v>
      </c>
      <c r="GP8" s="15">
        <v>75000</v>
      </c>
      <c r="GQ8" s="23">
        <f t="shared" si="35"/>
        <v>18750</v>
      </c>
      <c r="GR8" s="38">
        <f t="shared" si="36"/>
        <v>0</v>
      </c>
      <c r="GS8" s="10">
        <v>335412</v>
      </c>
      <c r="GT8" s="11">
        <f t="shared" si="37"/>
        <v>335412</v>
      </c>
      <c r="GU8" s="13">
        <v>85556</v>
      </c>
      <c r="GV8" s="13">
        <v>249856</v>
      </c>
      <c r="GW8" s="38">
        <f t="shared" si="38"/>
        <v>0</v>
      </c>
      <c r="GX8" s="23">
        <f t="shared" si="39"/>
        <v>83853</v>
      </c>
      <c r="GY8" s="11">
        <v>100000</v>
      </c>
      <c r="GZ8" s="479">
        <f>HA8</f>
        <v>119398</v>
      </c>
      <c r="HA8" s="15">
        <v>119398</v>
      </c>
      <c r="HB8" s="69"/>
      <c r="HC8" s="41">
        <f t="shared" si="40"/>
        <v>0.18593851467833189</v>
      </c>
      <c r="HD8" s="329"/>
      <c r="HE8" s="15">
        <v>12327</v>
      </c>
      <c r="HF8" s="24">
        <f t="shared" si="48"/>
        <v>0</v>
      </c>
      <c r="HG8" s="23">
        <f t="shared" si="41"/>
        <v>29849.5</v>
      </c>
      <c r="HH8" s="52"/>
      <c r="HI8" s="24">
        <f t="shared" si="42"/>
        <v>0</v>
      </c>
      <c r="HJ8" s="51"/>
      <c r="HK8" s="51"/>
      <c r="HL8" s="40">
        <v>1087937.9071325003</v>
      </c>
      <c r="HM8" s="40">
        <v>400000</v>
      </c>
      <c r="HN8" s="23">
        <f t="shared" si="43"/>
        <v>148599.5</v>
      </c>
      <c r="HO8" s="40">
        <v>474274.71</v>
      </c>
      <c r="HP8" s="23">
        <f t="shared" si="44"/>
        <v>267168.17749999999</v>
      </c>
      <c r="HQ8" s="53">
        <f t="shared" si="45"/>
        <v>0.62937481320481981</v>
      </c>
      <c r="HR8" s="40">
        <v>32084</v>
      </c>
      <c r="HS8" s="40"/>
      <c r="HT8" s="11">
        <v>0</v>
      </c>
      <c r="HU8" s="42">
        <f t="shared" si="46"/>
        <v>1730074.9071325003</v>
      </c>
      <c r="HV8" s="245"/>
      <c r="HW8" s="245">
        <f t="shared" si="47"/>
        <v>0</v>
      </c>
      <c r="HX8" s="119"/>
      <c r="HY8" s="245"/>
      <c r="HZ8" s="245"/>
      <c r="IA8" s="119"/>
      <c r="IB8" s="119"/>
      <c r="IC8" s="245"/>
      <c r="ID8" s="119"/>
      <c r="IE8" s="245"/>
      <c r="IF8" s="119"/>
      <c r="IG8" s="245"/>
      <c r="IH8" s="120"/>
      <c r="II8" s="350"/>
      <c r="IJ8" s="341"/>
      <c r="IK8" s="341"/>
      <c r="IL8" s="128"/>
      <c r="IM8" s="245"/>
      <c r="IN8" s="128"/>
      <c r="IO8" s="245"/>
      <c r="IP8" s="351"/>
      <c r="IQ8" s="351"/>
      <c r="IR8" s="351"/>
      <c r="IS8" s="351"/>
      <c r="IT8" s="289"/>
      <c r="IU8" s="289"/>
      <c r="IV8" s="252"/>
      <c r="IW8" s="245"/>
      <c r="IX8" s="252"/>
      <c r="IY8" s="245"/>
      <c r="IZ8" s="245"/>
      <c r="JA8" s="128"/>
      <c r="JB8" s="120"/>
      <c r="JC8" s="128"/>
      <c r="JD8" s="128"/>
      <c r="JE8" s="120"/>
    </row>
    <row r="9" spans="1:265" ht="55.5" customHeight="1">
      <c r="A9" s="6" t="s">
        <v>318</v>
      </c>
      <c r="B9" s="7" t="s">
        <v>35</v>
      </c>
      <c r="C9" s="7" t="s">
        <v>117</v>
      </c>
      <c r="D9" s="7">
        <v>2011</v>
      </c>
      <c r="E9" s="7" t="s">
        <v>112</v>
      </c>
      <c r="F9" s="7"/>
      <c r="G9" s="7"/>
      <c r="H9" s="56"/>
      <c r="I9" s="56"/>
      <c r="J9" s="56"/>
      <c r="K9" s="275"/>
      <c r="L9" s="460"/>
      <c r="M9" s="460"/>
      <c r="N9" s="460"/>
      <c r="O9" s="68"/>
      <c r="P9" s="68"/>
      <c r="Q9" s="68"/>
      <c r="R9" s="68"/>
      <c r="S9" s="68"/>
      <c r="T9" s="68"/>
      <c r="U9" s="68"/>
      <c r="V9" s="68"/>
      <c r="W9" s="68"/>
      <c r="X9" s="220"/>
      <c r="Y9" s="112"/>
      <c r="Z9" s="220" t="s">
        <v>197</v>
      </c>
      <c r="AA9" s="222"/>
      <c r="AB9" s="222"/>
      <c r="AC9" s="7" t="s">
        <v>16</v>
      </c>
      <c r="AD9" s="345">
        <f t="shared" si="0"/>
        <v>6</v>
      </c>
      <c r="AE9" s="8"/>
      <c r="AF9" s="7">
        <v>6</v>
      </c>
      <c r="AG9" s="56"/>
      <c r="AH9" s="56"/>
      <c r="AI9" s="9">
        <v>470.86</v>
      </c>
      <c r="AJ9" s="85">
        <v>470.86</v>
      </c>
      <c r="AK9" s="9">
        <f t="shared" si="1"/>
        <v>78.476666666666674</v>
      </c>
      <c r="AL9" s="60"/>
      <c r="AM9" s="60"/>
      <c r="AN9" s="60"/>
      <c r="AO9" s="60"/>
      <c r="AP9" s="60"/>
      <c r="AQ9" s="8"/>
      <c r="AR9" s="79">
        <v>0</v>
      </c>
      <c r="AS9" s="81" t="e">
        <f>AR9/O9</f>
        <v>#DIV/0!</v>
      </c>
      <c r="AT9" s="60"/>
      <c r="AU9" s="59" t="s">
        <v>621</v>
      </c>
      <c r="AV9" s="464" t="s">
        <v>125</v>
      </c>
      <c r="AW9" s="56"/>
      <c r="AX9" s="196">
        <v>40816</v>
      </c>
      <c r="AY9" s="203" t="s">
        <v>12</v>
      </c>
      <c r="AZ9" s="203" t="s">
        <v>242</v>
      </c>
      <c r="BA9" s="468"/>
      <c r="BB9" s="216">
        <v>40730</v>
      </c>
      <c r="BC9" s="102">
        <v>42317</v>
      </c>
      <c r="BD9" s="102"/>
      <c r="BE9" s="216"/>
      <c r="BF9" s="102"/>
      <c r="BG9" s="37"/>
      <c r="BH9" s="473"/>
      <c r="BI9" s="116"/>
      <c r="BJ9" s="116"/>
      <c r="BK9" s="200"/>
      <c r="BL9" s="200">
        <f t="shared" si="2"/>
        <v>731</v>
      </c>
      <c r="BM9" s="200">
        <f t="shared" si="3"/>
        <v>1096</v>
      </c>
      <c r="BN9" s="200"/>
      <c r="BO9" s="116"/>
      <c r="BP9" s="37"/>
      <c r="BQ9" s="116"/>
      <c r="BR9" s="106"/>
      <c r="BS9" s="106"/>
      <c r="BT9" s="106"/>
      <c r="BU9" s="167"/>
      <c r="BV9" s="333">
        <v>41264</v>
      </c>
      <c r="BW9" s="268"/>
      <c r="BX9" s="660"/>
      <c r="BY9" s="174" t="s">
        <v>177</v>
      </c>
      <c r="BZ9" s="268"/>
      <c r="CA9" s="373">
        <v>41176</v>
      </c>
      <c r="CB9" s="450"/>
      <c r="CC9" s="450"/>
      <c r="CD9" s="511"/>
      <c r="CE9" s="381">
        <v>40898</v>
      </c>
      <c r="CF9" s="374">
        <v>2011</v>
      </c>
      <c r="CG9" s="495">
        <f t="shared" si="4"/>
        <v>5.6</v>
      </c>
      <c r="CH9" s="135">
        <v>22</v>
      </c>
      <c r="CI9" s="135">
        <f t="shared" si="5"/>
        <v>23</v>
      </c>
      <c r="CJ9" s="135">
        <f t="shared" si="6"/>
        <v>22</v>
      </c>
      <c r="CK9" s="135">
        <f t="shared" si="7"/>
        <v>25</v>
      </c>
      <c r="CL9" s="135">
        <f t="shared" si="8"/>
        <v>0</v>
      </c>
      <c r="CM9" s="135">
        <f t="shared" si="9"/>
        <v>2</v>
      </c>
      <c r="CN9" s="245">
        <v>2502</v>
      </c>
      <c r="CO9" s="245">
        <f t="shared" si="10"/>
        <v>0</v>
      </c>
      <c r="CP9" s="136" t="s">
        <v>133</v>
      </c>
      <c r="CQ9" s="695">
        <f t="shared" si="11"/>
        <v>41568</v>
      </c>
      <c r="CR9" s="390">
        <v>41568</v>
      </c>
      <c r="CS9" s="385"/>
      <c r="CT9" s="136">
        <v>41611</v>
      </c>
      <c r="CU9" s="136"/>
      <c r="CV9" s="701">
        <v>41683</v>
      </c>
      <c r="CW9" s="706">
        <v>41683</v>
      </c>
      <c r="CX9" s="674">
        <v>2014</v>
      </c>
      <c r="CY9" s="197"/>
      <c r="CZ9" s="128"/>
      <c r="DA9" s="128"/>
      <c r="DB9" s="128"/>
      <c r="DC9" s="128"/>
      <c r="DD9" s="128"/>
      <c r="DE9" s="120"/>
      <c r="DF9" s="128">
        <f t="shared" si="12"/>
        <v>41933</v>
      </c>
      <c r="DG9" s="128" t="s">
        <v>315</v>
      </c>
      <c r="DH9" s="128" t="s">
        <v>133</v>
      </c>
      <c r="DI9" s="128"/>
      <c r="DJ9" s="128"/>
      <c r="DK9" s="128"/>
      <c r="DL9" s="128"/>
      <c r="DM9" s="119">
        <v>42121</v>
      </c>
      <c r="DN9" s="119"/>
      <c r="DO9" s="206"/>
      <c r="DP9" s="206"/>
      <c r="DQ9" s="128"/>
      <c r="DR9" s="128"/>
      <c r="DS9" s="128"/>
      <c r="DT9" s="128"/>
      <c r="DU9" s="128"/>
      <c r="DV9" s="589" t="str">
        <f t="shared" si="13"/>
        <v>0</v>
      </c>
      <c r="DW9" s="128"/>
      <c r="DX9" s="128"/>
      <c r="DY9" s="589" t="str">
        <f t="shared" si="14"/>
        <v>0</v>
      </c>
      <c r="DZ9" s="128"/>
      <c r="EA9" s="128"/>
      <c r="EB9" s="589" t="str">
        <f t="shared" si="15"/>
        <v>0</v>
      </c>
      <c r="EC9" s="128"/>
      <c r="ED9" s="128"/>
      <c r="EE9" s="589" t="str">
        <f t="shared" si="16"/>
        <v>0</v>
      </c>
      <c r="EF9" s="135"/>
      <c r="EG9" s="646"/>
      <c r="EH9" s="589" t="str">
        <f t="shared" si="17"/>
        <v>0</v>
      </c>
      <c r="EI9" s="245"/>
      <c r="EJ9" s="600"/>
      <c r="EK9" s="595"/>
      <c r="EL9" s="596" t="str">
        <f t="shared" si="18"/>
        <v>0</v>
      </c>
      <c r="EM9" s="600"/>
      <c r="EN9" s="595"/>
      <c r="EO9" s="596" t="str">
        <f t="shared" si="19"/>
        <v>0</v>
      </c>
      <c r="EP9" s="600"/>
      <c r="EQ9" s="595"/>
      <c r="ER9" s="596" t="str">
        <f t="shared" si="20"/>
        <v>0</v>
      </c>
      <c r="ES9" s="603"/>
      <c r="ET9" s="622"/>
      <c r="EU9" s="597" t="str">
        <f t="shared" si="21"/>
        <v>0</v>
      </c>
      <c r="EV9" s="598"/>
      <c r="EW9" s="599"/>
      <c r="EX9" s="596" t="str">
        <f t="shared" si="22"/>
        <v>0</v>
      </c>
      <c r="EY9" s="600"/>
      <c r="EZ9" s="600"/>
      <c r="FA9" s="596" t="str">
        <f t="shared" si="23"/>
        <v>0</v>
      </c>
      <c r="FB9" s="600"/>
      <c r="FC9" s="600"/>
      <c r="FD9" s="596" t="str">
        <f t="shared" si="24"/>
        <v>0</v>
      </c>
      <c r="FE9" s="600"/>
      <c r="FF9" s="600"/>
      <c r="FG9" s="596" t="str">
        <f t="shared" si="25"/>
        <v>0</v>
      </c>
      <c r="FH9" s="600"/>
      <c r="FI9" s="600"/>
      <c r="FJ9" s="596" t="str">
        <f t="shared" si="26"/>
        <v>0</v>
      </c>
      <c r="FK9" s="600"/>
      <c r="FL9" s="600"/>
      <c r="FM9" s="600"/>
      <c r="FN9" s="600"/>
      <c r="FO9" s="600"/>
      <c r="FP9" s="598">
        <f t="shared" si="27"/>
        <v>0</v>
      </c>
      <c r="FQ9" s="600"/>
      <c r="FR9" s="600"/>
      <c r="FS9" s="623"/>
      <c r="FT9" s="623"/>
      <c r="FU9" s="627"/>
      <c r="FV9" s="627"/>
      <c r="FW9" s="628">
        <f t="shared" si="28"/>
        <v>0</v>
      </c>
      <c r="FX9" s="628">
        <f t="shared" si="29"/>
        <v>0</v>
      </c>
      <c r="FY9" s="624"/>
      <c r="FZ9" s="641"/>
      <c r="GA9" s="624"/>
      <c r="GB9" s="624"/>
      <c r="GC9" s="476"/>
      <c r="GD9" s="447"/>
      <c r="GE9" s="10">
        <v>926283</v>
      </c>
      <c r="GF9" s="477">
        <f>GP9+GT9+HA9+HT9+HB9+HE9</f>
        <v>926283</v>
      </c>
      <c r="GG9" s="12">
        <f t="shared" si="30"/>
        <v>0</v>
      </c>
      <c r="GH9" s="12">
        <f t="shared" si="31"/>
        <v>1967.2153081595377</v>
      </c>
      <c r="GI9" s="12">
        <f t="shared" si="32"/>
        <v>154380.5</v>
      </c>
      <c r="GJ9" s="10"/>
      <c r="GK9" s="11"/>
      <c r="GL9" s="12">
        <f t="shared" si="33"/>
        <v>0</v>
      </c>
      <c r="GM9" s="137">
        <f t="shared" si="34"/>
        <v>0</v>
      </c>
      <c r="GN9" s="138"/>
      <c r="GO9" s="10">
        <v>340124</v>
      </c>
      <c r="GP9" s="15">
        <v>340124</v>
      </c>
      <c r="GQ9" s="23">
        <f t="shared" si="35"/>
        <v>56687.333333333336</v>
      </c>
      <c r="GR9" s="38">
        <f t="shared" si="36"/>
        <v>0</v>
      </c>
      <c r="GS9" s="10">
        <v>486159</v>
      </c>
      <c r="GT9" s="11">
        <f t="shared" si="37"/>
        <v>486159</v>
      </c>
      <c r="GU9" s="13">
        <v>145848</v>
      </c>
      <c r="GV9" s="13">
        <v>340311</v>
      </c>
      <c r="GW9" s="38">
        <f t="shared" si="38"/>
        <v>0</v>
      </c>
      <c r="GX9" s="23">
        <f t="shared" si="39"/>
        <v>81026.5</v>
      </c>
      <c r="GY9" s="11">
        <v>0</v>
      </c>
      <c r="GZ9" s="479">
        <v>100000</v>
      </c>
      <c r="HA9" s="15">
        <v>100000</v>
      </c>
      <c r="HB9" s="69"/>
      <c r="HC9" s="41">
        <f t="shared" si="40"/>
        <v>0.10795836693537504</v>
      </c>
      <c r="HD9" s="329"/>
      <c r="HE9" s="15">
        <v>0</v>
      </c>
      <c r="HF9" s="24">
        <f t="shared" si="48"/>
        <v>0</v>
      </c>
      <c r="HG9" s="23">
        <f t="shared" si="41"/>
        <v>16666.666666666668</v>
      </c>
      <c r="HH9" s="52"/>
      <c r="HI9" s="24">
        <f t="shared" si="42"/>
        <v>0</v>
      </c>
      <c r="HJ9" s="51"/>
      <c r="HK9" s="51"/>
      <c r="HL9" s="40">
        <v>0</v>
      </c>
      <c r="HM9" s="40">
        <v>0</v>
      </c>
      <c r="HN9" s="23">
        <f t="shared" si="43"/>
        <v>73354</v>
      </c>
      <c r="HO9" s="40">
        <v>0</v>
      </c>
      <c r="HP9" s="23">
        <f t="shared" si="44"/>
        <v>73354</v>
      </c>
      <c r="HQ9" s="53">
        <f t="shared" si="45"/>
        <v>0.47515068289065004</v>
      </c>
      <c r="HR9" s="40"/>
      <c r="HS9" s="40"/>
      <c r="HT9" s="11">
        <v>0</v>
      </c>
      <c r="HU9" s="42">
        <f t="shared" si="46"/>
        <v>926283</v>
      </c>
      <c r="HV9" s="245"/>
      <c r="HW9" s="245">
        <f t="shared" si="47"/>
        <v>0</v>
      </c>
      <c r="HX9" s="119"/>
      <c r="HY9" s="245"/>
      <c r="HZ9" s="245"/>
      <c r="IA9" s="119"/>
      <c r="IB9" s="119"/>
      <c r="IC9" s="245"/>
      <c r="ID9" s="119"/>
      <c r="IE9" s="245"/>
      <c r="IF9" s="119"/>
      <c r="IG9" s="245"/>
      <c r="IH9" s="120"/>
      <c r="II9" s="350"/>
      <c r="IJ9" s="341"/>
      <c r="IK9" s="341"/>
      <c r="IL9" s="128"/>
      <c r="IM9" s="245"/>
      <c r="IN9" s="128"/>
      <c r="IO9" s="245"/>
      <c r="IP9" s="351"/>
      <c r="IQ9" s="351"/>
      <c r="IR9" s="351"/>
      <c r="IS9" s="351"/>
      <c r="IT9" s="289"/>
      <c r="IU9" s="289"/>
      <c r="IV9" s="289"/>
      <c r="IW9" s="289"/>
      <c r="IX9" s="289"/>
      <c r="IY9" s="289"/>
      <c r="IZ9" s="245"/>
      <c r="JA9" s="128"/>
      <c r="JB9" s="120"/>
      <c r="JC9" s="128"/>
      <c r="JD9" s="128"/>
      <c r="JE9" s="120"/>
    </row>
    <row r="10" spans="1:265" ht="35.1" customHeight="1">
      <c r="A10" s="6" t="s">
        <v>106</v>
      </c>
      <c r="B10" s="7" t="s">
        <v>34</v>
      </c>
      <c r="C10" s="7" t="s">
        <v>118</v>
      </c>
      <c r="D10" s="7">
        <v>2011</v>
      </c>
      <c r="E10" s="7" t="s">
        <v>109</v>
      </c>
      <c r="F10" s="7" t="s">
        <v>58</v>
      </c>
      <c r="G10" s="7" t="s">
        <v>189</v>
      </c>
      <c r="H10" s="7" t="s">
        <v>265</v>
      </c>
      <c r="I10" s="56"/>
      <c r="J10" s="56"/>
      <c r="K10" s="275"/>
      <c r="L10" s="460"/>
      <c r="M10" s="460"/>
      <c r="N10" s="460"/>
      <c r="O10" s="219">
        <f>2009+396</f>
        <v>2405</v>
      </c>
      <c r="P10" s="219">
        <v>133800</v>
      </c>
      <c r="Q10" s="219">
        <v>120788</v>
      </c>
      <c r="R10" s="219">
        <f>P10/AD10</f>
        <v>9557.1428571428569</v>
      </c>
      <c r="S10" s="219">
        <f>P10/O10</f>
        <v>55.634095634095637</v>
      </c>
      <c r="T10" s="219">
        <f>Q10/O10</f>
        <v>50.223700623700623</v>
      </c>
      <c r="U10" s="219">
        <f>Q10/AJ10</f>
        <v>115.00004760408635</v>
      </c>
      <c r="V10" s="219">
        <f>Q10/AD10</f>
        <v>8627.7142857142862</v>
      </c>
      <c r="W10" s="219">
        <f>O10/AD10</f>
        <v>171.78571428571428</v>
      </c>
      <c r="X10" s="220"/>
      <c r="Y10" s="221">
        <f>AJ10/O10</f>
        <v>0.43672765072765068</v>
      </c>
      <c r="Z10" s="220" t="s">
        <v>215</v>
      </c>
      <c r="AA10" s="222"/>
      <c r="AB10" s="222"/>
      <c r="AC10" s="7" t="s">
        <v>16</v>
      </c>
      <c r="AD10" s="345">
        <f t="shared" si="0"/>
        <v>14</v>
      </c>
      <c r="AE10" s="463"/>
      <c r="AF10" s="7">
        <v>14</v>
      </c>
      <c r="AG10" s="56"/>
      <c r="AH10" s="56"/>
      <c r="AI10" s="9">
        <v>1050.33</v>
      </c>
      <c r="AJ10" s="85">
        <v>1050.33</v>
      </c>
      <c r="AK10" s="9">
        <f t="shared" si="1"/>
        <v>75.023571428571429</v>
      </c>
      <c r="AL10" s="60"/>
      <c r="AM10" s="60"/>
      <c r="AN10" s="60"/>
      <c r="AO10" s="60"/>
      <c r="AP10" s="60"/>
      <c r="AQ10" s="9">
        <v>600</v>
      </c>
      <c r="AR10" s="111" t="s">
        <v>343</v>
      </c>
      <c r="AS10" s="81" t="e">
        <f>AR10/O10</f>
        <v>#VALUE!</v>
      </c>
      <c r="AT10" s="60">
        <v>2</v>
      </c>
      <c r="AU10" s="59" t="s">
        <v>621</v>
      </c>
      <c r="AV10" s="464" t="s">
        <v>125</v>
      </c>
      <c r="AW10" s="56"/>
      <c r="AX10" s="196">
        <v>40816</v>
      </c>
      <c r="AY10" s="467" t="s">
        <v>177</v>
      </c>
      <c r="AZ10" s="467" t="s">
        <v>177</v>
      </c>
      <c r="BA10" s="468"/>
      <c r="BB10" s="216">
        <v>40884</v>
      </c>
      <c r="BC10" s="102"/>
      <c r="BD10" s="102"/>
      <c r="BE10" s="216"/>
      <c r="BF10" s="102"/>
      <c r="BG10" s="37"/>
      <c r="BH10" s="473"/>
      <c r="BI10" s="116"/>
      <c r="BJ10" s="116"/>
      <c r="BK10" s="200"/>
      <c r="BL10" s="200">
        <f t="shared" si="2"/>
        <v>731</v>
      </c>
      <c r="BM10" s="200">
        <f t="shared" si="3"/>
        <v>1096</v>
      </c>
      <c r="BN10" s="200"/>
      <c r="BO10" s="116"/>
      <c r="BP10" s="37"/>
      <c r="BQ10" s="116"/>
      <c r="BR10" s="106"/>
      <c r="BS10" s="106"/>
      <c r="BT10" s="104"/>
      <c r="BU10" s="167"/>
      <c r="BV10" s="333" t="s">
        <v>177</v>
      </c>
      <c r="BW10" s="268"/>
      <c r="BX10" s="168" t="s">
        <v>177</v>
      </c>
      <c r="BY10" s="174" t="s">
        <v>177</v>
      </c>
      <c r="BZ10" s="268"/>
      <c r="CA10" s="268"/>
      <c r="CB10" s="268" t="s">
        <v>177</v>
      </c>
      <c r="CC10" s="682"/>
      <c r="CD10" s="511"/>
      <c r="CE10" s="381">
        <v>40970</v>
      </c>
      <c r="CF10" s="374">
        <v>2012</v>
      </c>
      <c r="CG10" s="495">
        <f t="shared" si="4"/>
        <v>2.8666666666666667</v>
      </c>
      <c r="CH10" s="135">
        <v>12</v>
      </c>
      <c r="CI10" s="135">
        <f t="shared" si="5"/>
        <v>13</v>
      </c>
      <c r="CJ10" s="135">
        <f t="shared" si="6"/>
        <v>20</v>
      </c>
      <c r="CK10" s="135">
        <f t="shared" si="7"/>
        <v>26</v>
      </c>
      <c r="CL10" s="135">
        <f t="shared" si="8"/>
        <v>8</v>
      </c>
      <c r="CM10" s="135">
        <f t="shared" si="9"/>
        <v>13</v>
      </c>
      <c r="CN10" s="245">
        <v>5964</v>
      </c>
      <c r="CO10" s="245">
        <f t="shared" si="10"/>
        <v>47712</v>
      </c>
      <c r="CP10" s="136" t="s">
        <v>133</v>
      </c>
      <c r="CQ10" s="695">
        <f t="shared" si="11"/>
        <v>41335</v>
      </c>
      <c r="CR10" s="390">
        <v>41583</v>
      </c>
      <c r="CS10" s="385"/>
      <c r="CT10" s="136">
        <v>41627</v>
      </c>
      <c r="CU10" s="136"/>
      <c r="CV10" s="687">
        <v>41774</v>
      </c>
      <c r="CW10" s="390">
        <v>41774</v>
      </c>
      <c r="CX10" s="674">
        <v>2014</v>
      </c>
      <c r="CY10" s="136"/>
      <c r="CZ10" s="128"/>
      <c r="DA10" s="128"/>
      <c r="DB10" s="128"/>
      <c r="DC10" s="128"/>
      <c r="DD10" s="128">
        <v>41661</v>
      </c>
      <c r="DE10" s="120" t="s">
        <v>133</v>
      </c>
      <c r="DF10" s="128">
        <f t="shared" si="12"/>
        <v>41948</v>
      </c>
      <c r="DG10" s="128" t="s">
        <v>133</v>
      </c>
      <c r="DH10" s="128"/>
      <c r="DI10" s="128">
        <v>41919</v>
      </c>
      <c r="DJ10" s="128">
        <v>41925</v>
      </c>
      <c r="DK10" s="128"/>
      <c r="DL10" s="128"/>
      <c r="DM10" s="128" t="s">
        <v>177</v>
      </c>
      <c r="DN10" s="128"/>
      <c r="DO10" s="128"/>
      <c r="DP10" s="128"/>
      <c r="DQ10" s="128"/>
      <c r="DR10" s="128"/>
      <c r="DS10" s="128"/>
      <c r="DT10" s="128"/>
      <c r="DU10" s="128"/>
      <c r="DV10" s="589" t="str">
        <f t="shared" si="13"/>
        <v>0</v>
      </c>
      <c r="DW10" s="128"/>
      <c r="DX10" s="128"/>
      <c r="DY10" s="589" t="str">
        <f t="shared" si="14"/>
        <v>0</v>
      </c>
      <c r="DZ10" s="128"/>
      <c r="EA10" s="128"/>
      <c r="EB10" s="589" t="str">
        <f t="shared" si="15"/>
        <v>0</v>
      </c>
      <c r="EC10" s="128"/>
      <c r="ED10" s="128"/>
      <c r="EE10" s="589" t="str">
        <f t="shared" si="16"/>
        <v>0</v>
      </c>
      <c r="EF10" s="135"/>
      <c r="EG10" s="646"/>
      <c r="EH10" s="589" t="str">
        <f t="shared" si="17"/>
        <v>0</v>
      </c>
      <c r="EI10" s="245"/>
      <c r="EJ10" s="600"/>
      <c r="EK10" s="595"/>
      <c r="EL10" s="596" t="str">
        <f t="shared" si="18"/>
        <v>0</v>
      </c>
      <c r="EM10" s="600"/>
      <c r="EN10" s="595"/>
      <c r="EO10" s="596" t="str">
        <f t="shared" si="19"/>
        <v>0</v>
      </c>
      <c r="EP10" s="600"/>
      <c r="EQ10" s="595"/>
      <c r="ER10" s="596" t="str">
        <f t="shared" si="20"/>
        <v>0</v>
      </c>
      <c r="ES10" s="603"/>
      <c r="ET10" s="622"/>
      <c r="EU10" s="597" t="str">
        <f t="shared" si="21"/>
        <v>0</v>
      </c>
      <c r="EV10" s="598"/>
      <c r="EW10" s="599">
        <f ca="1">IF(EV10&lt;TODAY(),TODAY(),EV10)</f>
        <v>43163</v>
      </c>
      <c r="EX10" s="596" t="str">
        <f t="shared" ca="1" si="22"/>
        <v>0</v>
      </c>
      <c r="EY10" s="595"/>
      <c r="EZ10" s="600"/>
      <c r="FA10" s="596" t="str">
        <f t="shared" si="23"/>
        <v>0</v>
      </c>
      <c r="FB10" s="604"/>
      <c r="FC10" s="604"/>
      <c r="FD10" s="596" t="str">
        <f t="shared" si="24"/>
        <v>0</v>
      </c>
      <c r="FE10" s="604"/>
      <c r="FF10" s="602"/>
      <c r="FG10" s="596" t="str">
        <f t="shared" si="25"/>
        <v>0</v>
      </c>
      <c r="FH10" s="600"/>
      <c r="FI10" s="600"/>
      <c r="FJ10" s="596" t="str">
        <f t="shared" si="26"/>
        <v>0</v>
      </c>
      <c r="FK10" s="602"/>
      <c r="FL10" s="602"/>
      <c r="FM10" s="602"/>
      <c r="FN10" s="602"/>
      <c r="FO10" s="600"/>
      <c r="FP10" s="598">
        <f t="shared" si="27"/>
        <v>0</v>
      </c>
      <c r="FQ10" s="602"/>
      <c r="FR10" s="600">
        <f>CW10</f>
        <v>41774</v>
      </c>
      <c r="FS10" s="623"/>
      <c r="FT10" s="623"/>
      <c r="FU10" s="627"/>
      <c r="FV10" s="627"/>
      <c r="FW10" s="628">
        <f t="shared" si="28"/>
        <v>0</v>
      </c>
      <c r="FX10" s="628">
        <f t="shared" si="29"/>
        <v>1392.4666666666667</v>
      </c>
      <c r="FY10" s="624"/>
      <c r="FZ10" s="641" t="s">
        <v>854</v>
      </c>
      <c r="GA10" s="624"/>
      <c r="GB10" s="624"/>
      <c r="GC10" s="476"/>
      <c r="GD10" s="447"/>
      <c r="GE10" s="10">
        <v>2230353.88</v>
      </c>
      <c r="GF10" s="477">
        <f>GP10+GT10+HA10+HT10+GY10+HE10+HB10</f>
        <v>2230353.88</v>
      </c>
      <c r="GG10" s="12">
        <f t="shared" si="30"/>
        <v>0</v>
      </c>
      <c r="GH10" s="12">
        <f t="shared" si="31"/>
        <v>2123.4791732122285</v>
      </c>
      <c r="GI10" s="12">
        <f t="shared" si="32"/>
        <v>159310.99142857143</v>
      </c>
      <c r="GJ10" s="683"/>
      <c r="GK10" s="11">
        <v>0</v>
      </c>
      <c r="GL10" s="12">
        <f t="shared" si="33"/>
        <v>0</v>
      </c>
      <c r="GM10" s="137">
        <f t="shared" si="34"/>
        <v>0</v>
      </c>
      <c r="GN10" s="138"/>
      <c r="GO10" s="479">
        <v>0</v>
      </c>
      <c r="GP10" s="15">
        <v>0</v>
      </c>
      <c r="GQ10" s="23">
        <f t="shared" si="35"/>
        <v>0</v>
      </c>
      <c r="GR10" s="38">
        <f t="shared" si="36"/>
        <v>0</v>
      </c>
      <c r="GS10" s="10">
        <v>1285412</v>
      </c>
      <c r="GT10" s="11">
        <f t="shared" si="37"/>
        <v>1285412</v>
      </c>
      <c r="GU10" s="13">
        <v>305730</v>
      </c>
      <c r="GV10" s="13">
        <v>979682</v>
      </c>
      <c r="GW10" s="38">
        <f t="shared" si="38"/>
        <v>0</v>
      </c>
      <c r="GX10" s="23">
        <f t="shared" si="39"/>
        <v>91815.142857142855</v>
      </c>
      <c r="GY10" s="11"/>
      <c r="GZ10" s="479">
        <f>HA10</f>
        <v>620464</v>
      </c>
      <c r="HA10" s="15">
        <v>620464</v>
      </c>
      <c r="HB10" s="69">
        <v>70000</v>
      </c>
      <c r="HC10" s="41">
        <f t="shared" si="40"/>
        <v>0.27819083131328021</v>
      </c>
      <c r="HD10" s="329"/>
      <c r="HE10" s="15">
        <v>1120</v>
      </c>
      <c r="HF10" s="24">
        <f t="shared" si="48"/>
        <v>0</v>
      </c>
      <c r="HG10" s="23">
        <f t="shared" si="41"/>
        <v>44318.857142857145</v>
      </c>
      <c r="HH10" s="52"/>
      <c r="HI10" s="24">
        <f t="shared" si="42"/>
        <v>0</v>
      </c>
      <c r="HJ10" s="51"/>
      <c r="HK10" s="51"/>
      <c r="HL10" s="40">
        <v>715424.22886499984</v>
      </c>
      <c r="HM10" s="40">
        <v>280000</v>
      </c>
      <c r="HN10" s="23">
        <f t="shared" si="43"/>
        <v>64318.857142857145</v>
      </c>
      <c r="HO10" s="40">
        <v>259894.04</v>
      </c>
      <c r="HP10" s="23">
        <f t="shared" si="44"/>
        <v>82882.717142857146</v>
      </c>
      <c r="HQ10" s="53">
        <f t="shared" si="45"/>
        <v>0.41111677977683803</v>
      </c>
      <c r="HR10" s="40">
        <v>123324.49695</v>
      </c>
      <c r="HS10" s="40"/>
      <c r="HT10" s="11">
        <v>253357.88</v>
      </c>
      <c r="HU10" s="42">
        <f t="shared" si="46"/>
        <v>2945778.1088649998</v>
      </c>
      <c r="HV10" s="245"/>
      <c r="HW10" s="245">
        <f t="shared" si="47"/>
        <v>0</v>
      </c>
      <c r="HX10" s="119"/>
      <c r="HY10" s="245"/>
      <c r="HZ10" s="245"/>
      <c r="IA10" s="119"/>
      <c r="IB10" s="119"/>
      <c r="IC10" s="245"/>
      <c r="ID10" s="119"/>
      <c r="IE10" s="245"/>
      <c r="IF10" s="119"/>
      <c r="IG10" s="245"/>
      <c r="IH10" s="120"/>
      <c r="II10" s="350"/>
      <c r="IJ10" s="341"/>
      <c r="IK10" s="341"/>
      <c r="IL10" s="128"/>
      <c r="IM10" s="245"/>
      <c r="IN10" s="128"/>
      <c r="IO10" s="245"/>
      <c r="IP10" s="351"/>
      <c r="IQ10" s="351"/>
      <c r="IR10" s="351"/>
      <c r="IS10" s="351"/>
      <c r="IT10" s="289"/>
      <c r="IU10" s="289"/>
      <c r="IV10" s="289"/>
      <c r="IW10" s="289"/>
      <c r="IX10" s="289"/>
      <c r="IY10" s="289"/>
      <c r="IZ10" s="245"/>
      <c r="JA10" s="128"/>
      <c r="JB10" s="120"/>
      <c r="JC10" s="128"/>
      <c r="JD10" s="128"/>
      <c r="JE10" s="120"/>
    </row>
    <row r="11" spans="1:265" ht="57" customHeight="1">
      <c r="A11" s="25" t="s">
        <v>95</v>
      </c>
      <c r="B11" s="7" t="s">
        <v>35</v>
      </c>
      <c r="C11" s="7" t="s">
        <v>117</v>
      </c>
      <c r="D11" s="7">
        <v>2012</v>
      </c>
      <c r="E11" s="7" t="s">
        <v>86</v>
      </c>
      <c r="F11" s="7" t="s">
        <v>37</v>
      </c>
      <c r="G11" s="7" t="s">
        <v>189</v>
      </c>
      <c r="H11" s="7" t="s">
        <v>265</v>
      </c>
      <c r="I11" s="56"/>
      <c r="J11" s="56"/>
      <c r="K11" s="275"/>
      <c r="L11" s="165"/>
      <c r="M11" s="165"/>
      <c r="N11" s="165"/>
      <c r="O11" s="219">
        <v>3735</v>
      </c>
      <c r="P11" s="219">
        <f>Q11</f>
        <v>860000</v>
      </c>
      <c r="Q11" s="219">
        <v>860000</v>
      </c>
      <c r="R11" s="219">
        <f>P11/(AD11+AD105)</f>
        <v>29655.172413793105</v>
      </c>
      <c r="S11" s="219">
        <f>P11/O11</f>
        <v>230.25435073627844</v>
      </c>
      <c r="T11" s="219">
        <f>Q11/O11</f>
        <v>230.25435073627844</v>
      </c>
      <c r="U11" s="219">
        <f>Q11/(AJ11+AJ105)</f>
        <v>359.81005376231616</v>
      </c>
      <c r="V11" s="219">
        <f>Q11/(AD11+AD105)</f>
        <v>29655.172413793105</v>
      </c>
      <c r="W11" s="219">
        <f>O11/(AD11+AD105)</f>
        <v>128.79310344827587</v>
      </c>
      <c r="X11" s="219"/>
      <c r="Y11" s="221">
        <f>(AJ11+AJ105)/O11</f>
        <v>0.63993306559571628</v>
      </c>
      <c r="Z11" s="220" t="s">
        <v>203</v>
      </c>
      <c r="AA11" s="222"/>
      <c r="AB11" s="223"/>
      <c r="AC11" s="7" t="s">
        <v>15</v>
      </c>
      <c r="AD11" s="345">
        <f t="shared" si="0"/>
        <v>29</v>
      </c>
      <c r="AE11" s="7">
        <v>29</v>
      </c>
      <c r="AF11" s="8"/>
      <c r="AG11" s="67"/>
      <c r="AH11" s="67"/>
      <c r="AI11" s="9">
        <v>2390.15</v>
      </c>
      <c r="AJ11" s="85">
        <v>2390.15</v>
      </c>
      <c r="AK11" s="9">
        <f t="shared" si="1"/>
        <v>82.418965517241389</v>
      </c>
      <c r="AL11" s="62"/>
      <c r="AM11" s="62"/>
      <c r="AN11" s="62"/>
      <c r="AO11" s="62"/>
      <c r="AP11" s="62"/>
      <c r="AQ11" s="9">
        <v>1046</v>
      </c>
      <c r="AR11" s="111">
        <v>0</v>
      </c>
      <c r="AS11" s="81">
        <f>AR11/O11</f>
        <v>0</v>
      </c>
      <c r="AT11" s="60">
        <v>4</v>
      </c>
      <c r="AU11" s="59" t="s">
        <v>621</v>
      </c>
      <c r="AV11" s="9" t="s">
        <v>125</v>
      </c>
      <c r="AW11" s="56"/>
      <c r="AX11" s="196">
        <v>40963</v>
      </c>
      <c r="AY11" s="467" t="s">
        <v>12</v>
      </c>
      <c r="AZ11" s="467" t="s">
        <v>243</v>
      </c>
      <c r="BA11" s="1"/>
      <c r="BB11" s="216">
        <v>41053</v>
      </c>
      <c r="BC11" s="102"/>
      <c r="BD11" s="102"/>
      <c r="BE11" s="216">
        <v>41193</v>
      </c>
      <c r="BF11" s="102"/>
      <c r="BG11" s="472"/>
      <c r="BH11" s="213"/>
      <c r="BI11" s="105"/>
      <c r="BJ11" s="105"/>
      <c r="BK11" s="322">
        <v>41319</v>
      </c>
      <c r="BL11" s="322">
        <f t="shared" si="2"/>
        <v>42049</v>
      </c>
      <c r="BM11" s="322">
        <f t="shared" si="3"/>
        <v>42414</v>
      </c>
      <c r="BN11" s="322" t="str">
        <f t="shared" ref="BN11:BN16" si="49">IF(CW11&gt;BL11,"oui","non")</f>
        <v>oui</v>
      </c>
      <c r="BO11" s="105"/>
      <c r="BP11" s="472"/>
      <c r="BQ11" s="105"/>
      <c r="BR11" s="117"/>
      <c r="BS11" s="117"/>
      <c r="BT11" s="117"/>
      <c r="BU11" s="167" t="s">
        <v>143</v>
      </c>
      <c r="BV11" s="333">
        <v>41261</v>
      </c>
      <c r="BW11" s="268"/>
      <c r="BX11" s="168">
        <v>6314520.7599999998</v>
      </c>
      <c r="BY11" s="174">
        <f t="shared" ref="BY11:BY34" si="50">DATE(YEAR(BV11),MONTH(BV11)+18,DAY(BV11))</f>
        <v>41808</v>
      </c>
      <c r="BZ11" s="268">
        <f>DATE(YEAR(BV11),MONTH(BV11)+24,DAY(BV11))</f>
        <v>41991</v>
      </c>
      <c r="CA11" s="373">
        <v>41470</v>
      </c>
      <c r="CB11" s="268">
        <v>42170</v>
      </c>
      <c r="CC11" s="681">
        <f>(CW11-CB11)/30</f>
        <v>-0.4</v>
      </c>
      <c r="CD11" s="511"/>
      <c r="CE11" s="380">
        <v>41309</v>
      </c>
      <c r="CF11" s="374">
        <v>2013</v>
      </c>
      <c r="CG11" s="495">
        <f t="shared" si="4"/>
        <v>8.5333333333333332</v>
      </c>
      <c r="CH11" s="122">
        <v>15</v>
      </c>
      <c r="CI11" s="122">
        <f t="shared" si="5"/>
        <v>16</v>
      </c>
      <c r="CJ11" s="122">
        <f t="shared" si="6"/>
        <v>27</v>
      </c>
      <c r="CK11" s="122">
        <f t="shared" si="7"/>
        <v>27</v>
      </c>
      <c r="CL11" s="122">
        <f t="shared" si="8"/>
        <v>12</v>
      </c>
      <c r="CM11" s="122">
        <f t="shared" si="9"/>
        <v>11</v>
      </c>
      <c r="CN11" s="246">
        <f>184847.662644658/12</f>
        <v>15403.971887054833</v>
      </c>
      <c r="CO11" s="246">
        <f t="shared" si="10"/>
        <v>184847.662644658</v>
      </c>
      <c r="CP11" s="121" t="s">
        <v>133</v>
      </c>
      <c r="CQ11" s="514">
        <f t="shared" si="11"/>
        <v>41763</v>
      </c>
      <c r="CR11" s="382">
        <v>42158</v>
      </c>
      <c r="CS11" s="386"/>
      <c r="CT11" s="121">
        <v>41992</v>
      </c>
      <c r="CU11" s="121"/>
      <c r="CV11" s="673">
        <v>42158</v>
      </c>
      <c r="CW11" s="390">
        <v>42158</v>
      </c>
      <c r="CX11" s="515">
        <v>2015</v>
      </c>
      <c r="CY11" s="121"/>
      <c r="CZ11" s="128"/>
      <c r="DA11" s="128"/>
      <c r="DB11" s="127"/>
      <c r="DC11" s="127"/>
      <c r="DD11" s="127"/>
      <c r="DE11" s="282" t="s">
        <v>335</v>
      </c>
      <c r="DF11" s="127">
        <f t="shared" si="12"/>
        <v>42524</v>
      </c>
      <c r="DG11" s="249" t="s">
        <v>316</v>
      </c>
      <c r="DH11" s="206">
        <v>42353</v>
      </c>
      <c r="DI11" s="127"/>
      <c r="DJ11" s="127"/>
      <c r="DK11" s="127"/>
      <c r="DL11" s="127"/>
      <c r="DM11" s="128">
        <v>43006</v>
      </c>
      <c r="DN11" s="195"/>
      <c r="DO11" s="195"/>
      <c r="DP11" s="195"/>
      <c r="DQ11" s="127"/>
      <c r="DR11" s="127"/>
      <c r="DS11" s="128"/>
      <c r="DT11" s="128"/>
      <c r="DU11" s="128"/>
      <c r="DV11" s="589" t="str">
        <f t="shared" si="13"/>
        <v>0</v>
      </c>
      <c r="DW11" s="128"/>
      <c r="DX11" s="128"/>
      <c r="DY11" s="589" t="str">
        <f t="shared" si="14"/>
        <v>0</v>
      </c>
      <c r="DZ11" s="128"/>
      <c r="EA11" s="128"/>
      <c r="EB11" s="589" t="str">
        <f t="shared" si="15"/>
        <v>0</v>
      </c>
      <c r="EC11" s="128"/>
      <c r="ED11" s="128"/>
      <c r="EE11" s="589" t="str">
        <f t="shared" si="16"/>
        <v>0</v>
      </c>
      <c r="EF11" s="135"/>
      <c r="EG11" s="646"/>
      <c r="EH11" s="589" t="str">
        <f t="shared" si="17"/>
        <v>0</v>
      </c>
      <c r="EI11" s="245"/>
      <c r="EJ11" s="600"/>
      <c r="EK11" s="595"/>
      <c r="EL11" s="596" t="str">
        <f t="shared" si="18"/>
        <v>0</v>
      </c>
      <c r="EM11" s="600"/>
      <c r="EN11" s="595"/>
      <c r="EO11" s="596" t="str">
        <f t="shared" si="19"/>
        <v>0</v>
      </c>
      <c r="EP11" s="600"/>
      <c r="EQ11" s="595"/>
      <c r="ER11" s="596" t="str">
        <f t="shared" si="20"/>
        <v>0</v>
      </c>
      <c r="ES11" s="603"/>
      <c r="ET11" s="622"/>
      <c r="EU11" s="597" t="str">
        <f t="shared" si="21"/>
        <v>0</v>
      </c>
      <c r="EV11" s="598"/>
      <c r="EW11" s="599"/>
      <c r="EX11" s="596" t="str">
        <f t="shared" si="22"/>
        <v>0</v>
      </c>
      <c r="EY11" s="600"/>
      <c r="EZ11" s="600"/>
      <c r="FA11" s="596" t="str">
        <f t="shared" si="23"/>
        <v>0</v>
      </c>
      <c r="FB11" s="600"/>
      <c r="FC11" s="600"/>
      <c r="FD11" s="596" t="str">
        <f t="shared" si="24"/>
        <v>0</v>
      </c>
      <c r="FE11" s="600"/>
      <c r="FF11" s="600"/>
      <c r="FG11" s="596" t="str">
        <f t="shared" si="25"/>
        <v>0</v>
      </c>
      <c r="FH11" s="600"/>
      <c r="FI11" s="600"/>
      <c r="FJ11" s="596" t="str">
        <f t="shared" si="26"/>
        <v>0</v>
      </c>
      <c r="FK11" s="600"/>
      <c r="FL11" s="600"/>
      <c r="FM11" s="600"/>
      <c r="FN11" s="600"/>
      <c r="FO11" s="600"/>
      <c r="FP11" s="598">
        <f t="shared" si="27"/>
        <v>0</v>
      </c>
      <c r="FQ11" s="600"/>
      <c r="FR11" s="600">
        <f>CW11</f>
        <v>42158</v>
      </c>
      <c r="FS11" s="623"/>
      <c r="FT11" s="623"/>
      <c r="FU11" s="627"/>
      <c r="FV11" s="627"/>
      <c r="FW11" s="628">
        <f t="shared" si="28"/>
        <v>0</v>
      </c>
      <c r="FX11" s="628">
        <f t="shared" si="29"/>
        <v>1405.2666666666667</v>
      </c>
      <c r="FY11" s="624"/>
      <c r="FZ11" s="641"/>
      <c r="GA11" s="624"/>
      <c r="GB11" s="624"/>
      <c r="GC11" s="166"/>
      <c r="GD11" s="727">
        <v>4670611</v>
      </c>
      <c r="GE11" s="10">
        <v>4807009.38</v>
      </c>
      <c r="GF11" s="477">
        <f>GP11+GT11+HA11+HT11+GY11+HE11</f>
        <v>4681218.38</v>
      </c>
      <c r="GG11" s="12">
        <f t="shared" si="30"/>
        <v>-125791</v>
      </c>
      <c r="GH11" s="12">
        <f t="shared" si="31"/>
        <v>1958.5458569545842</v>
      </c>
      <c r="GI11" s="12">
        <f t="shared" si="32"/>
        <v>161421.32344827586</v>
      </c>
      <c r="GJ11" s="10"/>
      <c r="GK11" s="11"/>
      <c r="GL11" s="12">
        <f t="shared" si="33"/>
        <v>0</v>
      </c>
      <c r="GM11" s="137">
        <f t="shared" si="34"/>
        <v>0</v>
      </c>
      <c r="GN11" s="138"/>
      <c r="GO11" s="10">
        <v>1473759.38</v>
      </c>
      <c r="GP11" s="11">
        <v>1473759.38</v>
      </c>
      <c r="GQ11" s="23">
        <f t="shared" si="35"/>
        <v>50819.28896551724</v>
      </c>
      <c r="GR11" s="38">
        <f t="shared" si="36"/>
        <v>0</v>
      </c>
      <c r="GS11" s="10">
        <v>3186090</v>
      </c>
      <c r="GT11" s="11">
        <f t="shared" si="37"/>
        <v>3186090</v>
      </c>
      <c r="GU11" s="13">
        <v>549227</v>
      </c>
      <c r="GV11" s="13">
        <v>2636863</v>
      </c>
      <c r="GW11" s="38">
        <f t="shared" si="38"/>
        <v>0</v>
      </c>
      <c r="GX11" s="23">
        <f t="shared" si="39"/>
        <v>109865.1724137931</v>
      </c>
      <c r="GY11" s="11">
        <v>0</v>
      </c>
      <c r="GZ11" s="10">
        <v>1111</v>
      </c>
      <c r="HA11" s="15">
        <v>1</v>
      </c>
      <c r="HB11" s="69"/>
      <c r="HC11" s="41">
        <f t="shared" si="40"/>
        <v>2.1361960045965641E-7</v>
      </c>
      <c r="HD11" s="329"/>
      <c r="HE11" s="15">
        <v>1110</v>
      </c>
      <c r="HF11" s="24">
        <f>HA11-GZ11+HE11</f>
        <v>0</v>
      </c>
      <c r="HG11" s="23">
        <f t="shared" si="41"/>
        <v>3.4482758620689655E-2</v>
      </c>
      <c r="HH11" s="52"/>
      <c r="HI11" s="24">
        <f t="shared" si="42"/>
        <v>0</v>
      </c>
      <c r="HJ11" s="51"/>
      <c r="HK11" s="51"/>
      <c r="HL11" s="40">
        <v>0</v>
      </c>
      <c r="HM11" s="40">
        <v>0</v>
      </c>
      <c r="HN11" s="23">
        <f t="shared" si="43"/>
        <v>50819.323448275856</v>
      </c>
      <c r="HO11" s="40">
        <v>0</v>
      </c>
      <c r="HP11" s="23">
        <f t="shared" si="44"/>
        <v>50819.323448275856</v>
      </c>
      <c r="HQ11" s="53">
        <f t="shared" si="45"/>
        <v>0.31482410354887136</v>
      </c>
      <c r="HR11" s="40"/>
      <c r="HS11" s="40"/>
      <c r="HT11" s="483">
        <v>20258</v>
      </c>
      <c r="HU11" s="42">
        <f t="shared" si="46"/>
        <v>4681218.38</v>
      </c>
      <c r="HV11" s="245"/>
      <c r="HW11" s="245">
        <f t="shared" si="47"/>
        <v>0</v>
      </c>
      <c r="HX11" s="119"/>
      <c r="HY11" s="245"/>
      <c r="HZ11" s="245"/>
      <c r="IA11" s="119"/>
      <c r="IB11" s="119"/>
      <c r="IC11" s="245"/>
      <c r="ID11" s="119"/>
      <c r="IE11" s="245"/>
      <c r="IF11" s="119"/>
      <c r="IG11" s="245"/>
      <c r="IH11" s="120"/>
      <c r="II11" s="350"/>
      <c r="IJ11" s="341"/>
      <c r="IK11" s="341"/>
      <c r="IL11" s="128"/>
      <c r="IM11" s="245"/>
      <c r="IN11" s="128"/>
      <c r="IO11" s="245"/>
      <c r="IP11" s="351"/>
      <c r="IQ11" s="351"/>
      <c r="IR11" s="351"/>
      <c r="IS11" s="351"/>
      <c r="IT11" s="289"/>
      <c r="IU11" s="289"/>
      <c r="IV11" s="289"/>
      <c r="IW11" s="289"/>
      <c r="IX11" s="289"/>
      <c r="IY11" s="289"/>
      <c r="IZ11" s="245"/>
      <c r="JA11" s="128"/>
      <c r="JB11" s="120"/>
      <c r="JC11" s="128"/>
      <c r="JD11" s="128"/>
      <c r="JE11" s="120"/>
    </row>
    <row r="12" spans="1:265" ht="24.95" customHeight="1">
      <c r="A12" s="25" t="s">
        <v>96</v>
      </c>
      <c r="B12" s="7" t="s">
        <v>35</v>
      </c>
      <c r="C12" s="7" t="s">
        <v>117</v>
      </c>
      <c r="D12" s="7">
        <v>2012</v>
      </c>
      <c r="E12" s="7" t="s">
        <v>86</v>
      </c>
      <c r="F12" s="7" t="s">
        <v>37</v>
      </c>
      <c r="G12" s="6"/>
      <c r="H12" s="7"/>
      <c r="I12" s="56"/>
      <c r="J12" s="56"/>
      <c r="K12" s="275"/>
      <c r="L12" s="165"/>
      <c r="M12" s="165"/>
      <c r="N12" s="165"/>
      <c r="O12" s="68"/>
      <c r="P12" s="68"/>
      <c r="Q12" s="68"/>
      <c r="R12" s="68"/>
      <c r="S12" s="68"/>
      <c r="T12" s="68"/>
      <c r="U12" s="68"/>
      <c r="V12" s="68"/>
      <c r="W12" s="68"/>
      <c r="X12" s="68"/>
      <c r="Y12" s="68"/>
      <c r="Z12" s="220" t="s">
        <v>203</v>
      </c>
      <c r="AA12" s="222"/>
      <c r="AB12" s="223"/>
      <c r="AC12" s="7" t="s">
        <v>16</v>
      </c>
      <c r="AD12" s="345">
        <f t="shared" si="0"/>
        <v>13</v>
      </c>
      <c r="AE12" s="8"/>
      <c r="AF12" s="7">
        <v>13</v>
      </c>
      <c r="AG12" s="56"/>
      <c r="AH12" s="56"/>
      <c r="AI12" s="9">
        <v>927.22</v>
      </c>
      <c r="AJ12" s="85">
        <v>927.22</v>
      </c>
      <c r="AK12" s="9">
        <f t="shared" si="1"/>
        <v>71.324615384615385</v>
      </c>
      <c r="AL12" s="62"/>
      <c r="AM12" s="62"/>
      <c r="AN12" s="62"/>
      <c r="AO12" s="62"/>
      <c r="AP12" s="62"/>
      <c r="AQ12" s="8"/>
      <c r="AR12" s="194"/>
      <c r="AS12" s="112"/>
      <c r="AT12" s="67"/>
      <c r="AU12" s="59" t="s">
        <v>621</v>
      </c>
      <c r="AV12" s="9" t="s">
        <v>125</v>
      </c>
      <c r="AW12" s="56"/>
      <c r="AX12" s="196">
        <v>40963</v>
      </c>
      <c r="AY12" s="467" t="s">
        <v>12</v>
      </c>
      <c r="AZ12" s="467" t="s">
        <v>243</v>
      </c>
      <c r="BA12" s="1"/>
      <c r="BB12" s="216">
        <v>41081</v>
      </c>
      <c r="BC12" s="102"/>
      <c r="BD12" s="102"/>
      <c r="BE12" s="216">
        <v>41193</v>
      </c>
      <c r="BF12" s="102"/>
      <c r="BG12" s="472"/>
      <c r="BH12" s="213"/>
      <c r="BI12" s="105"/>
      <c r="BJ12" s="105"/>
      <c r="BK12" s="322">
        <v>41319</v>
      </c>
      <c r="BL12" s="322">
        <f t="shared" si="2"/>
        <v>42049</v>
      </c>
      <c r="BM12" s="322">
        <f t="shared" si="3"/>
        <v>42414</v>
      </c>
      <c r="BN12" s="322" t="str">
        <f t="shared" si="49"/>
        <v>oui</v>
      </c>
      <c r="BO12" s="105"/>
      <c r="BP12" s="472"/>
      <c r="BQ12" s="105"/>
      <c r="BR12" s="117"/>
      <c r="BS12" s="117"/>
      <c r="BT12" s="117"/>
      <c r="BU12" s="167"/>
      <c r="BV12" s="333">
        <v>41261</v>
      </c>
      <c r="BW12" s="268"/>
      <c r="BX12" s="168">
        <v>6314520.7599999998</v>
      </c>
      <c r="BY12" s="174">
        <f t="shared" si="50"/>
        <v>41808</v>
      </c>
      <c r="BZ12" s="268">
        <f>DATE(YEAR(BV12),MONTH(BV12)+24,DAY(BV12))</f>
        <v>41991</v>
      </c>
      <c r="CA12" s="373">
        <v>41470</v>
      </c>
      <c r="CB12" s="450"/>
      <c r="CC12" s="450"/>
      <c r="CD12" s="511"/>
      <c r="CE12" s="380">
        <v>41309</v>
      </c>
      <c r="CF12" s="374">
        <v>2013</v>
      </c>
      <c r="CG12" s="495">
        <f t="shared" si="4"/>
        <v>7.6</v>
      </c>
      <c r="CH12" s="122">
        <v>15</v>
      </c>
      <c r="CI12" s="122">
        <f t="shared" si="5"/>
        <v>16</v>
      </c>
      <c r="CJ12" s="122">
        <f t="shared" si="6"/>
        <v>27</v>
      </c>
      <c r="CK12" s="122">
        <f t="shared" si="7"/>
        <v>27</v>
      </c>
      <c r="CL12" s="122">
        <f t="shared" si="8"/>
        <v>12</v>
      </c>
      <c r="CM12" s="122">
        <f t="shared" si="9"/>
        <v>11</v>
      </c>
      <c r="CN12" s="246">
        <f>55171.5718158662/12</f>
        <v>4597.6309846555168</v>
      </c>
      <c r="CO12" s="246">
        <f t="shared" si="10"/>
        <v>55171.571815866206</v>
      </c>
      <c r="CP12" s="121" t="s">
        <v>133</v>
      </c>
      <c r="CQ12" s="514">
        <f t="shared" si="11"/>
        <v>41763</v>
      </c>
      <c r="CR12" s="382">
        <v>42158</v>
      </c>
      <c r="CS12" s="386"/>
      <c r="CT12" s="121">
        <v>41992</v>
      </c>
      <c r="CU12" s="121"/>
      <c r="CV12" s="673">
        <v>42158</v>
      </c>
      <c r="CW12" s="390">
        <v>42158</v>
      </c>
      <c r="CX12" s="515">
        <v>2015</v>
      </c>
      <c r="CY12" s="121"/>
      <c r="CZ12" s="128"/>
      <c r="DA12" s="128"/>
      <c r="DB12" s="127"/>
      <c r="DC12" s="127"/>
      <c r="DD12" s="127"/>
      <c r="DE12" s="282" t="s">
        <v>335</v>
      </c>
      <c r="DF12" s="127">
        <f t="shared" si="12"/>
        <v>42524</v>
      </c>
      <c r="DG12" s="249" t="s">
        <v>316</v>
      </c>
      <c r="DH12" s="206">
        <v>42353</v>
      </c>
      <c r="DI12" s="127"/>
      <c r="DJ12" s="127"/>
      <c r="DK12" s="127"/>
      <c r="DL12" s="127"/>
      <c r="DM12" s="128">
        <v>43006</v>
      </c>
      <c r="DN12" s="195"/>
      <c r="DO12" s="195"/>
      <c r="DP12" s="195"/>
      <c r="DQ12" s="127"/>
      <c r="DR12" s="127"/>
      <c r="DS12" s="128"/>
      <c r="DT12" s="128"/>
      <c r="DU12" s="128"/>
      <c r="DV12" s="589" t="str">
        <f t="shared" si="13"/>
        <v>0</v>
      </c>
      <c r="DW12" s="128"/>
      <c r="DX12" s="128"/>
      <c r="DY12" s="589" t="str">
        <f t="shared" si="14"/>
        <v>0</v>
      </c>
      <c r="DZ12" s="128"/>
      <c r="EA12" s="128"/>
      <c r="EB12" s="589" t="str">
        <f t="shared" si="15"/>
        <v>0</v>
      </c>
      <c r="EC12" s="128"/>
      <c r="ED12" s="128"/>
      <c r="EE12" s="589" t="str">
        <f t="shared" si="16"/>
        <v>0</v>
      </c>
      <c r="EF12" s="135"/>
      <c r="EG12" s="646"/>
      <c r="EH12" s="589" t="str">
        <f t="shared" si="17"/>
        <v>0</v>
      </c>
      <c r="EI12" s="245"/>
      <c r="EJ12" s="128"/>
      <c r="EK12" s="245"/>
      <c r="EL12" s="589" t="str">
        <f t="shared" si="18"/>
        <v>0</v>
      </c>
      <c r="EM12" s="128"/>
      <c r="EN12" s="245"/>
      <c r="EO12" s="589" t="str">
        <f t="shared" si="19"/>
        <v>0</v>
      </c>
      <c r="EP12" s="128"/>
      <c r="EQ12" s="245"/>
      <c r="ER12" s="589" t="str">
        <f t="shared" si="20"/>
        <v>0</v>
      </c>
      <c r="ES12" s="648"/>
      <c r="ET12" s="644"/>
      <c r="EU12" s="593" t="str">
        <f t="shared" si="21"/>
        <v>0</v>
      </c>
      <c r="EV12" s="135"/>
      <c r="EW12" s="649"/>
      <c r="EX12" s="589" t="str">
        <f t="shared" si="22"/>
        <v>0</v>
      </c>
      <c r="EY12" s="128"/>
      <c r="EZ12" s="128"/>
      <c r="FA12" s="589" t="str">
        <f t="shared" si="23"/>
        <v>0</v>
      </c>
      <c r="FB12" s="128"/>
      <c r="FC12" s="128"/>
      <c r="FD12" s="589" t="str">
        <f t="shared" si="24"/>
        <v>0</v>
      </c>
      <c r="FE12" s="128"/>
      <c r="FF12" s="128"/>
      <c r="FG12" s="589" t="str">
        <f t="shared" si="25"/>
        <v>0</v>
      </c>
      <c r="FH12" s="128"/>
      <c r="FI12" s="128"/>
      <c r="FJ12" s="589" t="str">
        <f t="shared" si="26"/>
        <v>0</v>
      </c>
      <c r="FK12" s="128"/>
      <c r="FL12" s="128"/>
      <c r="FM12" s="128"/>
      <c r="FN12" s="600"/>
      <c r="FO12" s="600"/>
      <c r="FP12" s="598">
        <f t="shared" si="27"/>
        <v>0</v>
      </c>
      <c r="FQ12" s="600"/>
      <c r="FR12" s="600"/>
      <c r="FS12" s="623"/>
      <c r="FT12" s="623"/>
      <c r="FU12" s="627"/>
      <c r="FV12" s="627"/>
      <c r="FW12" s="628">
        <f t="shared" si="28"/>
        <v>0</v>
      </c>
      <c r="FX12" s="628">
        <f t="shared" si="29"/>
        <v>0</v>
      </c>
      <c r="FY12" s="624"/>
      <c r="FZ12" s="641" t="s">
        <v>859</v>
      </c>
      <c r="GA12" s="624"/>
      <c r="GB12" s="624"/>
      <c r="GC12" s="166"/>
      <c r="GD12" s="727">
        <v>1808199</v>
      </c>
      <c r="GE12" s="10">
        <v>1878610.47</v>
      </c>
      <c r="GF12" s="477">
        <f>GP12+GT12+HA12+HT12+HB12+HE12</f>
        <v>1898659.47</v>
      </c>
      <c r="GG12" s="12">
        <f t="shared" si="30"/>
        <v>20049</v>
      </c>
      <c r="GH12" s="12">
        <f t="shared" si="31"/>
        <v>2047.6903755311575</v>
      </c>
      <c r="GI12" s="12">
        <f t="shared" si="32"/>
        <v>146050.72846153847</v>
      </c>
      <c r="GJ12" s="10"/>
      <c r="GK12" s="11"/>
      <c r="GL12" s="12">
        <f t="shared" si="33"/>
        <v>0</v>
      </c>
      <c r="GM12" s="137">
        <f t="shared" si="34"/>
        <v>0</v>
      </c>
      <c r="GN12" s="138"/>
      <c r="GO12" s="10">
        <v>706398.49</v>
      </c>
      <c r="GP12" s="11">
        <v>706398.49</v>
      </c>
      <c r="GQ12" s="23">
        <f t="shared" si="35"/>
        <v>54338.345384615386</v>
      </c>
      <c r="GR12" s="38">
        <f t="shared" si="36"/>
        <v>0</v>
      </c>
      <c r="GS12" s="10">
        <v>1041347.98</v>
      </c>
      <c r="GT12" s="11">
        <f t="shared" si="37"/>
        <v>1041347.98</v>
      </c>
      <c r="GU12" s="13">
        <v>179485</v>
      </c>
      <c r="GV12" s="13">
        <v>861862.98</v>
      </c>
      <c r="GW12" s="38">
        <f t="shared" si="38"/>
        <v>0</v>
      </c>
      <c r="GX12" s="23">
        <f t="shared" si="39"/>
        <v>80103.690769230772</v>
      </c>
      <c r="GY12" s="11">
        <v>0</v>
      </c>
      <c r="GZ12" s="10">
        <v>60430</v>
      </c>
      <c r="HA12" s="15">
        <v>60000</v>
      </c>
      <c r="HB12" s="69"/>
      <c r="HC12" s="41">
        <f t="shared" si="40"/>
        <v>3.1601243376201633E-2</v>
      </c>
      <c r="HD12" s="329"/>
      <c r="HE12" s="15">
        <v>430</v>
      </c>
      <c r="HF12" s="24">
        <f>HA12-GZ12+HE12</f>
        <v>0</v>
      </c>
      <c r="HG12" s="23">
        <f t="shared" si="41"/>
        <v>4615.3846153846152</v>
      </c>
      <c r="HH12" s="52"/>
      <c r="HI12" s="24">
        <f t="shared" si="42"/>
        <v>0</v>
      </c>
      <c r="HJ12" s="51"/>
      <c r="HK12" s="51"/>
      <c r="HL12" s="40">
        <v>0</v>
      </c>
      <c r="HM12" s="40">
        <v>0</v>
      </c>
      <c r="HN12" s="23">
        <f t="shared" si="43"/>
        <v>58953.729999999996</v>
      </c>
      <c r="HO12" s="40">
        <v>0</v>
      </c>
      <c r="HP12" s="23">
        <f t="shared" si="44"/>
        <v>58953.729999999996</v>
      </c>
      <c r="HQ12" s="53">
        <f t="shared" si="45"/>
        <v>0.40365242009405722</v>
      </c>
      <c r="HR12" s="40"/>
      <c r="HS12" s="40"/>
      <c r="HT12" s="483">
        <v>90483</v>
      </c>
      <c r="HU12" s="42">
        <f t="shared" si="46"/>
        <v>1898659.47</v>
      </c>
      <c r="HV12" s="245"/>
      <c r="HW12" s="245">
        <f t="shared" si="47"/>
        <v>0</v>
      </c>
      <c r="HX12" s="119"/>
      <c r="HY12" s="245"/>
      <c r="HZ12" s="245"/>
      <c r="IA12" s="119"/>
      <c r="IB12" s="119"/>
      <c r="IC12" s="245"/>
      <c r="ID12" s="119"/>
      <c r="IE12" s="245"/>
      <c r="IF12" s="119"/>
      <c r="IG12" s="245"/>
      <c r="IH12" s="120"/>
      <c r="II12" s="350"/>
      <c r="IJ12" s="341"/>
      <c r="IK12" s="341"/>
      <c r="IL12" s="128"/>
      <c r="IM12" s="245"/>
      <c r="IN12" s="128"/>
      <c r="IO12" s="245"/>
      <c r="IP12" s="351"/>
      <c r="IQ12" s="351"/>
      <c r="IR12" s="351"/>
      <c r="IS12" s="351"/>
      <c r="IT12" s="289"/>
      <c r="IU12" s="289"/>
      <c r="IV12" s="289"/>
      <c r="IW12" s="289"/>
      <c r="IX12" s="289"/>
      <c r="IY12" s="289"/>
      <c r="IZ12" s="245"/>
      <c r="JA12" s="128"/>
      <c r="JB12" s="120"/>
      <c r="JC12" s="128"/>
      <c r="JD12" s="128"/>
      <c r="JE12" s="120"/>
    </row>
    <row r="13" spans="1:265" ht="91.5" customHeight="1">
      <c r="A13" s="86" t="s">
        <v>79</v>
      </c>
      <c r="B13" s="7" t="s">
        <v>35</v>
      </c>
      <c r="C13" s="7" t="s">
        <v>117</v>
      </c>
      <c r="D13" s="7">
        <v>2012</v>
      </c>
      <c r="E13" s="7" t="s">
        <v>89</v>
      </c>
      <c r="F13" s="7" t="s">
        <v>423</v>
      </c>
      <c r="G13" s="7" t="s">
        <v>697</v>
      </c>
      <c r="H13" s="7" t="s">
        <v>428</v>
      </c>
      <c r="I13" s="56"/>
      <c r="J13" s="56"/>
      <c r="K13" s="435" t="s">
        <v>670</v>
      </c>
      <c r="L13" s="165"/>
      <c r="M13" s="165"/>
      <c r="N13" s="165"/>
      <c r="O13" s="219">
        <v>12495</v>
      </c>
      <c r="P13" s="219">
        <v>825000</v>
      </c>
      <c r="Q13" s="219">
        <v>546365</v>
      </c>
      <c r="R13" s="219">
        <f t="shared" ref="R13:R23" si="51">P13/AD13</f>
        <v>12692.307692307691</v>
      </c>
      <c r="S13" s="219">
        <f t="shared" ref="S13:S23" si="52">P13/O13</f>
        <v>66.026410564225685</v>
      </c>
      <c r="T13" s="219">
        <f t="shared" ref="T13:T23" si="53">Q13/O13</f>
        <v>43.726690676270508</v>
      </c>
      <c r="U13" s="219">
        <f t="shared" ref="U13:U23" si="54">Q13/AJ13</f>
        <v>102.74383478695837</v>
      </c>
      <c r="V13" s="219">
        <f t="shared" ref="V13:V23" si="55">Q13/AD13</f>
        <v>8405.6153846153848</v>
      </c>
      <c r="W13" s="219">
        <f t="shared" ref="W13:W23" si="56">O13/AD13</f>
        <v>192.23076923076923</v>
      </c>
      <c r="X13" s="219"/>
      <c r="Y13" s="221">
        <f t="shared" ref="Y13:Y23" si="57">AJ13/O13</f>
        <v>0.42558943577430969</v>
      </c>
      <c r="Z13" s="220" t="s">
        <v>215</v>
      </c>
      <c r="AA13" s="222">
        <v>850</v>
      </c>
      <c r="AB13" s="223"/>
      <c r="AC13" s="7" t="s">
        <v>16</v>
      </c>
      <c r="AD13" s="345">
        <f t="shared" si="0"/>
        <v>65</v>
      </c>
      <c r="AE13" s="8"/>
      <c r="AF13" s="7">
        <v>65</v>
      </c>
      <c r="AG13" s="56"/>
      <c r="AH13" s="56"/>
      <c r="AI13" s="9">
        <v>5311.74</v>
      </c>
      <c r="AJ13" s="85">
        <v>5317.74</v>
      </c>
      <c r="AK13" s="9">
        <f t="shared" si="1"/>
        <v>81.811384615384611</v>
      </c>
      <c r="AL13" s="81">
        <f>0/AD13</f>
        <v>0</v>
      </c>
      <c r="AM13" s="81">
        <f>19/AD13</f>
        <v>0.29230769230769232</v>
      </c>
      <c r="AN13" s="81">
        <f>20/AD13</f>
        <v>0.30769230769230771</v>
      </c>
      <c r="AO13" s="81">
        <f>23/AD13</f>
        <v>0.35384615384615387</v>
      </c>
      <c r="AP13" s="81">
        <f>3/AD13</f>
        <v>4.6153846153846156E-2</v>
      </c>
      <c r="AQ13" s="9" t="s">
        <v>212</v>
      </c>
      <c r="AR13" s="79">
        <v>2000</v>
      </c>
      <c r="AS13" s="81">
        <f t="shared" ref="AS13:AS40" si="58">AR13/O13</f>
        <v>0.1600640256102441</v>
      </c>
      <c r="AT13" s="60">
        <v>2.5</v>
      </c>
      <c r="AU13" s="59" t="s">
        <v>621</v>
      </c>
      <c r="AV13" s="9"/>
      <c r="AW13" s="56"/>
      <c r="AX13" s="196">
        <v>40963</v>
      </c>
      <c r="AY13" s="467" t="s">
        <v>12</v>
      </c>
      <c r="AZ13" s="467" t="s">
        <v>239</v>
      </c>
      <c r="BA13" s="1"/>
      <c r="BB13" s="216">
        <v>41091</v>
      </c>
      <c r="BC13" s="102"/>
      <c r="BD13" s="102"/>
      <c r="BE13" s="216">
        <v>41134</v>
      </c>
      <c r="BF13" s="102"/>
      <c r="BG13" s="472"/>
      <c r="BH13" s="213"/>
      <c r="BI13" s="105"/>
      <c r="BJ13" s="105"/>
      <c r="BK13" s="322">
        <v>41319</v>
      </c>
      <c r="BL13" s="322">
        <f t="shared" si="2"/>
        <v>42049</v>
      </c>
      <c r="BM13" s="322">
        <f t="shared" si="3"/>
        <v>42414</v>
      </c>
      <c r="BN13" s="322" t="str">
        <f t="shared" si="49"/>
        <v>oui</v>
      </c>
      <c r="BO13" s="105"/>
      <c r="BP13" s="472"/>
      <c r="BQ13" s="472"/>
      <c r="BR13" s="475"/>
      <c r="BS13" s="475"/>
      <c r="BT13" s="475"/>
      <c r="BU13" s="167" t="s">
        <v>149</v>
      </c>
      <c r="BV13" s="333">
        <v>41261</v>
      </c>
      <c r="BW13" s="268"/>
      <c r="BX13" s="168">
        <v>9654414.4900000002</v>
      </c>
      <c r="BY13" s="174">
        <f t="shared" si="50"/>
        <v>41808</v>
      </c>
      <c r="BZ13" s="268"/>
      <c r="CA13" s="373">
        <v>41785</v>
      </c>
      <c r="CB13" s="268">
        <v>41927</v>
      </c>
      <c r="CC13" s="681">
        <f t="shared" ref="CC13:CC23" si="59">(CW13-CB13)/30</f>
        <v>31.733333333333334</v>
      </c>
      <c r="CD13" s="254"/>
      <c r="CE13" s="380">
        <v>41320</v>
      </c>
      <c r="CF13" s="374">
        <v>2013</v>
      </c>
      <c r="CG13" s="495">
        <f t="shared" si="4"/>
        <v>7.6333333333333337</v>
      </c>
      <c r="CH13" s="122">
        <v>21</v>
      </c>
      <c r="CI13" s="256">
        <f t="shared" si="5"/>
        <v>22</v>
      </c>
      <c r="CJ13" s="122">
        <f t="shared" si="6"/>
        <v>51</v>
      </c>
      <c r="CK13" s="256">
        <f t="shared" si="7"/>
        <v>51</v>
      </c>
      <c r="CL13" s="122">
        <f t="shared" si="8"/>
        <v>30</v>
      </c>
      <c r="CM13" s="256">
        <f t="shared" si="9"/>
        <v>29</v>
      </c>
      <c r="CN13" s="256">
        <f>329858.71178776/12</f>
        <v>27488.225982313335</v>
      </c>
      <c r="CO13" s="259">
        <f t="shared" si="10"/>
        <v>824646.77946940006</v>
      </c>
      <c r="CP13" s="250">
        <v>42535</v>
      </c>
      <c r="CQ13" s="652">
        <f t="shared" si="11"/>
        <v>41958</v>
      </c>
      <c r="CR13" s="381">
        <v>42875</v>
      </c>
      <c r="CS13" s="389">
        <f>DATE(YEAR(CA13)+2,MONTH(CA13),DAY(CA13))</f>
        <v>42516</v>
      </c>
      <c r="CT13" s="250">
        <v>42879</v>
      </c>
      <c r="CU13" s="250" t="s">
        <v>133</v>
      </c>
      <c r="CV13" s="673">
        <v>42864</v>
      </c>
      <c r="CW13" s="382">
        <v>42879</v>
      </c>
      <c r="CX13" s="704">
        <v>2017</v>
      </c>
      <c r="CY13" s="315" t="s">
        <v>133</v>
      </c>
      <c r="CZ13" s="127"/>
      <c r="DA13" s="251" t="s">
        <v>133</v>
      </c>
      <c r="DB13" s="127"/>
      <c r="DC13" s="127"/>
      <c r="DD13" s="127"/>
      <c r="DE13" s="442" t="s">
        <v>335</v>
      </c>
      <c r="DF13" s="127"/>
      <c r="DG13" s="206" t="s">
        <v>133</v>
      </c>
      <c r="DH13" s="206">
        <v>42907</v>
      </c>
      <c r="DI13" s="127"/>
      <c r="DJ13" s="127"/>
      <c r="DK13" s="127"/>
      <c r="DL13" s="195" t="s">
        <v>673</v>
      </c>
      <c r="DM13" s="195"/>
      <c r="DN13" s="56"/>
      <c r="DO13" s="56" t="s">
        <v>659</v>
      </c>
      <c r="DP13" s="56"/>
      <c r="DQ13" s="127"/>
      <c r="DR13" s="127"/>
      <c r="DS13" s="128"/>
      <c r="DT13" s="120"/>
      <c r="DU13" s="120"/>
      <c r="DV13" s="589" t="str">
        <f t="shared" si="13"/>
        <v>0</v>
      </c>
      <c r="DW13" s="128"/>
      <c r="DX13" s="128"/>
      <c r="DY13" s="589" t="str">
        <f t="shared" si="14"/>
        <v>0</v>
      </c>
      <c r="DZ13" s="135"/>
      <c r="EA13" s="128"/>
      <c r="EB13" s="589" t="str">
        <f t="shared" si="15"/>
        <v>0</v>
      </c>
      <c r="EC13" s="135"/>
      <c r="ED13" s="128"/>
      <c r="EE13" s="589" t="str">
        <f t="shared" si="16"/>
        <v>0</v>
      </c>
      <c r="EF13" s="135"/>
      <c r="EG13" s="646"/>
      <c r="EH13" s="589" t="str">
        <f t="shared" si="17"/>
        <v>0</v>
      </c>
      <c r="EI13" s="245"/>
      <c r="EJ13" s="600"/>
      <c r="EK13" s="595"/>
      <c r="EL13" s="596" t="str">
        <f t="shared" si="18"/>
        <v>0</v>
      </c>
      <c r="EM13" s="600"/>
      <c r="EN13" s="595"/>
      <c r="EO13" s="596" t="str">
        <f t="shared" si="19"/>
        <v>0</v>
      </c>
      <c r="EP13" s="600"/>
      <c r="EQ13" s="595"/>
      <c r="ER13" s="596" t="str">
        <f t="shared" si="20"/>
        <v>0</v>
      </c>
      <c r="ES13" s="603"/>
      <c r="ET13" s="622"/>
      <c r="EU13" s="597" t="str">
        <f t="shared" si="21"/>
        <v>0</v>
      </c>
      <c r="EV13" s="598"/>
      <c r="EW13" s="599"/>
      <c r="EX13" s="596" t="str">
        <f t="shared" si="22"/>
        <v>0</v>
      </c>
      <c r="EY13" s="595"/>
      <c r="EZ13" s="600"/>
      <c r="FA13" s="596" t="str">
        <f t="shared" si="23"/>
        <v>0</v>
      </c>
      <c r="FB13" s="602"/>
      <c r="FC13" s="602"/>
      <c r="FD13" s="596" t="str">
        <f t="shared" si="24"/>
        <v>0</v>
      </c>
      <c r="FE13" s="602"/>
      <c r="FF13" s="602"/>
      <c r="FG13" s="596" t="str">
        <f t="shared" si="25"/>
        <v>0</v>
      </c>
      <c r="FH13" s="602"/>
      <c r="FI13" s="602"/>
      <c r="FJ13" s="596" t="str">
        <f t="shared" si="26"/>
        <v>0</v>
      </c>
      <c r="FK13" s="602"/>
      <c r="FL13" s="602"/>
      <c r="FM13" s="602"/>
      <c r="FN13" s="602"/>
      <c r="FO13" s="600"/>
      <c r="FP13" s="598">
        <f t="shared" si="27"/>
        <v>0</v>
      </c>
      <c r="FQ13" s="602"/>
      <c r="FR13" s="600">
        <f t="shared" ref="FR13:FR22" si="60">CW13</f>
        <v>42879</v>
      </c>
      <c r="FS13" s="623"/>
      <c r="FT13" s="623"/>
      <c r="FU13" s="627"/>
      <c r="FV13" s="627"/>
      <c r="FW13" s="628">
        <f t="shared" si="28"/>
        <v>0</v>
      </c>
      <c r="FX13" s="628">
        <f t="shared" si="29"/>
        <v>1429.3</v>
      </c>
      <c r="FY13" s="624"/>
      <c r="FZ13" s="641" t="s">
        <v>844</v>
      </c>
      <c r="GA13" s="624"/>
      <c r="GB13" s="624"/>
      <c r="GC13" s="166"/>
      <c r="GD13" s="727">
        <v>9682468.3900000006</v>
      </c>
      <c r="GE13" s="10">
        <v>10302885.028743383</v>
      </c>
      <c r="GF13" s="477">
        <f>GP13+GT13+HA13+HT13+GY13+HE13</f>
        <v>10323043.357213691</v>
      </c>
      <c r="GG13" s="12">
        <f t="shared" si="30"/>
        <v>20158.328470308334</v>
      </c>
      <c r="GH13" s="12">
        <f t="shared" si="31"/>
        <v>1943.4391286496875</v>
      </c>
      <c r="GI13" s="12">
        <f t="shared" si="32"/>
        <v>158816.05164944139</v>
      </c>
      <c r="GJ13" s="10">
        <v>9295451</v>
      </c>
      <c r="GK13" s="11"/>
      <c r="GL13" s="12">
        <f t="shared" si="33"/>
        <v>-9295451</v>
      </c>
      <c r="GM13" s="137">
        <f t="shared" si="34"/>
        <v>0.92116484310196667</v>
      </c>
      <c r="GN13" s="138"/>
      <c r="GO13" s="10">
        <v>3195831</v>
      </c>
      <c r="GP13" s="11">
        <v>3195831</v>
      </c>
      <c r="GQ13" s="23">
        <f t="shared" si="35"/>
        <v>49166.630769230767</v>
      </c>
      <c r="GR13" s="38">
        <f t="shared" si="36"/>
        <v>0</v>
      </c>
      <c r="GS13" s="10">
        <v>6112292.5499999998</v>
      </c>
      <c r="GT13" s="11">
        <f t="shared" si="37"/>
        <v>6112292.5499999998</v>
      </c>
      <c r="GU13" s="13">
        <v>1264343</v>
      </c>
      <c r="GV13" s="13">
        <v>4847949.55</v>
      </c>
      <c r="GW13" s="38">
        <f t="shared" si="38"/>
        <v>0</v>
      </c>
      <c r="GX13" s="23">
        <f t="shared" si="39"/>
        <v>94035.27</v>
      </c>
      <c r="GY13" s="11">
        <v>0</v>
      </c>
      <c r="GZ13" s="10">
        <v>790394</v>
      </c>
      <c r="HA13" s="15">
        <v>790394</v>
      </c>
      <c r="HB13" s="69"/>
      <c r="HC13" s="41">
        <f t="shared" si="40"/>
        <v>7.6565986662031849E-2</v>
      </c>
      <c r="HD13" s="329"/>
      <c r="HE13" s="15">
        <v>0</v>
      </c>
      <c r="HF13" s="24">
        <f>HA13-GZ13</f>
        <v>0</v>
      </c>
      <c r="HG13" s="23">
        <f t="shared" si="41"/>
        <v>12159.907692307692</v>
      </c>
      <c r="HH13" s="52"/>
      <c r="HI13" s="24">
        <f t="shared" si="42"/>
        <v>0</v>
      </c>
      <c r="HJ13" s="51"/>
      <c r="HK13" s="51"/>
      <c r="HL13" s="40">
        <v>1951680.4950927752</v>
      </c>
      <c r="HM13" s="40">
        <v>1300000</v>
      </c>
      <c r="HN13" s="23">
        <f t="shared" si="43"/>
        <v>81326.538461538468</v>
      </c>
      <c r="HO13" s="40">
        <v>0</v>
      </c>
      <c r="HP13" s="23">
        <f t="shared" si="44"/>
        <v>81326.538461538468</v>
      </c>
      <c r="HQ13" s="53">
        <f t="shared" si="45"/>
        <v>0.45116299387544156</v>
      </c>
      <c r="HR13" s="40">
        <v>557838.66500000004</v>
      </c>
      <c r="HS13" s="482"/>
      <c r="HT13" s="483">
        <v>224525.80721369086</v>
      </c>
      <c r="HU13" s="42">
        <f t="shared" si="46"/>
        <v>12274723.852306467</v>
      </c>
      <c r="HV13" s="245"/>
      <c r="HW13" s="245">
        <f t="shared" si="47"/>
        <v>0</v>
      </c>
      <c r="HX13" s="119"/>
      <c r="HY13" s="245"/>
      <c r="HZ13" s="245"/>
      <c r="IA13" s="119"/>
      <c r="IB13" s="119"/>
      <c r="IC13" s="245"/>
      <c r="ID13" s="119"/>
      <c r="IE13" s="245"/>
      <c r="IF13" s="119"/>
      <c r="IG13" s="245"/>
      <c r="IH13" s="120"/>
      <c r="II13" s="350"/>
      <c r="IJ13" s="341"/>
      <c r="IK13" s="341"/>
      <c r="IL13" s="128"/>
      <c r="IM13" s="245"/>
      <c r="IN13" s="128"/>
      <c r="IO13" s="245"/>
      <c r="IP13" s="120"/>
      <c r="IQ13" s="120"/>
      <c r="IR13" s="120"/>
      <c r="IS13" s="120"/>
      <c r="IT13" s="289"/>
      <c r="IU13" s="289"/>
      <c r="IV13" s="289"/>
      <c r="IW13" s="289"/>
      <c r="IX13" s="289"/>
      <c r="IY13" s="289"/>
      <c r="IZ13" s="245"/>
      <c r="JA13" s="128"/>
      <c r="JB13" s="120"/>
      <c r="JC13" s="128"/>
      <c r="JD13" s="128"/>
      <c r="JE13" s="120"/>
    </row>
    <row r="14" spans="1:265" ht="24.95" customHeight="1">
      <c r="A14" s="86" t="s">
        <v>447</v>
      </c>
      <c r="B14" s="7" t="s">
        <v>35</v>
      </c>
      <c r="C14" s="7" t="s">
        <v>117</v>
      </c>
      <c r="D14" s="7">
        <v>2012</v>
      </c>
      <c r="E14" s="7" t="s">
        <v>85</v>
      </c>
      <c r="F14" s="7" t="s">
        <v>30</v>
      </c>
      <c r="G14" s="7" t="s">
        <v>739</v>
      </c>
      <c r="H14" s="7" t="s">
        <v>265</v>
      </c>
      <c r="I14" s="56" t="s">
        <v>367</v>
      </c>
      <c r="J14" s="56"/>
      <c r="K14" s="275"/>
      <c r="L14" s="165"/>
      <c r="M14" s="165"/>
      <c r="N14" s="165"/>
      <c r="O14" s="219">
        <v>8821</v>
      </c>
      <c r="P14" s="219">
        <v>530000</v>
      </c>
      <c r="Q14" s="219">
        <v>289110</v>
      </c>
      <c r="R14" s="219">
        <f t="shared" si="51"/>
        <v>13250</v>
      </c>
      <c r="S14" s="219">
        <f t="shared" si="52"/>
        <v>60.083890715338399</v>
      </c>
      <c r="T14" s="219">
        <f t="shared" si="53"/>
        <v>32.775195556059401</v>
      </c>
      <c r="U14" s="219">
        <f t="shared" si="54"/>
        <v>111.55441514093337</v>
      </c>
      <c r="V14" s="219">
        <f t="shared" si="55"/>
        <v>7227.75</v>
      </c>
      <c r="W14" s="219">
        <f t="shared" si="56"/>
        <v>220.52500000000001</v>
      </c>
      <c r="X14" s="219"/>
      <c r="Y14" s="221">
        <f t="shared" si="57"/>
        <v>0.29380455730642785</v>
      </c>
      <c r="Z14" s="220" t="s">
        <v>215</v>
      </c>
      <c r="AA14" s="222"/>
      <c r="AB14" s="223"/>
      <c r="AC14" s="7" t="s">
        <v>16</v>
      </c>
      <c r="AD14" s="345">
        <f t="shared" si="0"/>
        <v>40</v>
      </c>
      <c r="AE14" s="8"/>
      <c r="AF14" s="7">
        <v>40</v>
      </c>
      <c r="AG14" s="56"/>
      <c r="AH14" s="56"/>
      <c r="AI14" s="9">
        <v>2591.65</v>
      </c>
      <c r="AJ14" s="85">
        <v>2591.65</v>
      </c>
      <c r="AK14" s="9">
        <f t="shared" si="1"/>
        <v>64.791250000000005</v>
      </c>
      <c r="AL14" s="81">
        <f>4/AD14</f>
        <v>0.1</v>
      </c>
      <c r="AM14" s="81">
        <f>12/AD14</f>
        <v>0.3</v>
      </c>
      <c r="AN14" s="81">
        <f>13/AD14</f>
        <v>0.32500000000000001</v>
      </c>
      <c r="AO14" s="81">
        <f>9/AD14</f>
        <v>0.22500000000000001</v>
      </c>
      <c r="AP14" s="81">
        <f>2/AD14</f>
        <v>0.05</v>
      </c>
      <c r="AQ14" s="465">
        <v>1150</v>
      </c>
      <c r="AR14" s="739"/>
      <c r="AS14" s="82">
        <f t="shared" si="58"/>
        <v>0</v>
      </c>
      <c r="AT14" s="61">
        <v>2.5</v>
      </c>
      <c r="AU14" s="59" t="s">
        <v>621</v>
      </c>
      <c r="AV14" s="9" t="s">
        <v>126</v>
      </c>
      <c r="AW14" s="56"/>
      <c r="AX14" s="196">
        <v>40963</v>
      </c>
      <c r="AY14" s="467" t="s">
        <v>12</v>
      </c>
      <c r="AZ14" s="467" t="s">
        <v>240</v>
      </c>
      <c r="BA14" s="1"/>
      <c r="BB14" s="216">
        <v>41094</v>
      </c>
      <c r="BC14" s="102"/>
      <c r="BD14" s="102"/>
      <c r="BE14" s="216">
        <v>41134</v>
      </c>
      <c r="BF14" s="102"/>
      <c r="BG14" s="472"/>
      <c r="BH14" s="213"/>
      <c r="BI14" s="105"/>
      <c r="BJ14" s="105"/>
      <c r="BK14" s="322">
        <v>41319</v>
      </c>
      <c r="BL14" s="322">
        <f t="shared" si="2"/>
        <v>42049</v>
      </c>
      <c r="BM14" s="322">
        <f t="shared" si="3"/>
        <v>42414</v>
      </c>
      <c r="BN14" s="322" t="str">
        <f t="shared" si="49"/>
        <v>oui</v>
      </c>
      <c r="BO14" s="105"/>
      <c r="BP14" s="472"/>
      <c r="BQ14" s="105"/>
      <c r="BR14" s="117"/>
      <c r="BS14" s="117"/>
      <c r="BT14" s="117"/>
      <c r="BU14" s="167" t="s">
        <v>154</v>
      </c>
      <c r="BV14" s="333">
        <v>41261</v>
      </c>
      <c r="BW14" s="268"/>
      <c r="BX14" s="168"/>
      <c r="BY14" s="174">
        <f t="shared" si="50"/>
        <v>41808</v>
      </c>
      <c r="BZ14" s="268">
        <f>DATE(YEAR(BV14),MONTH(BV14)+24,DAY(BV14))</f>
        <v>41991</v>
      </c>
      <c r="CA14" s="373">
        <v>41570</v>
      </c>
      <c r="CB14" s="268">
        <v>41988</v>
      </c>
      <c r="CC14" s="681">
        <f t="shared" si="59"/>
        <v>5.4333333333333336</v>
      </c>
      <c r="CD14" s="511"/>
      <c r="CE14" s="380">
        <v>41309</v>
      </c>
      <c r="CF14" s="374">
        <v>2013</v>
      </c>
      <c r="CG14" s="495">
        <f t="shared" si="4"/>
        <v>7.166666666666667</v>
      </c>
      <c r="CH14" s="122">
        <v>15</v>
      </c>
      <c r="CI14" s="122">
        <f t="shared" si="5"/>
        <v>16</v>
      </c>
      <c r="CJ14" s="122">
        <f t="shared" si="6"/>
        <v>26</v>
      </c>
      <c r="CK14" s="122">
        <f t="shared" si="7"/>
        <v>27</v>
      </c>
      <c r="CL14" s="122">
        <f t="shared" si="8"/>
        <v>11</v>
      </c>
      <c r="CM14" s="122">
        <f t="shared" si="9"/>
        <v>11</v>
      </c>
      <c r="CN14" s="246">
        <f>172364.265683679/12</f>
        <v>14363.68880697325</v>
      </c>
      <c r="CO14" s="246">
        <f t="shared" si="10"/>
        <v>158000.57687670575</v>
      </c>
      <c r="CP14" s="121" t="s">
        <v>133</v>
      </c>
      <c r="CQ14" s="514">
        <f t="shared" si="11"/>
        <v>41763</v>
      </c>
      <c r="CR14" s="382">
        <v>42111</v>
      </c>
      <c r="CS14" s="514"/>
      <c r="CT14" s="197">
        <v>42202</v>
      </c>
      <c r="CU14" s="197">
        <v>42278</v>
      </c>
      <c r="CV14" s="514">
        <v>42151</v>
      </c>
      <c r="CW14" s="390">
        <v>42151</v>
      </c>
      <c r="CX14" s="515">
        <v>2015</v>
      </c>
      <c r="CY14" s="121"/>
      <c r="CZ14" s="128" t="s">
        <v>133</v>
      </c>
      <c r="DA14" s="128"/>
      <c r="DB14" s="128" t="s">
        <v>133</v>
      </c>
      <c r="DC14" s="128" t="s">
        <v>133</v>
      </c>
      <c r="DD14" s="206">
        <v>42628</v>
      </c>
      <c r="DE14" s="206">
        <v>42831</v>
      </c>
      <c r="DF14" s="127">
        <f>DATE(YEAR(CR14)+1,MONTH(CR14),DAY(CR14))</f>
        <v>42477</v>
      </c>
      <c r="DG14" s="206">
        <v>42170</v>
      </c>
      <c r="DH14" s="249" t="s">
        <v>409</v>
      </c>
      <c r="DI14" s="206">
        <v>42647</v>
      </c>
      <c r="DJ14" s="127"/>
      <c r="DK14" s="127"/>
      <c r="DL14" s="206">
        <v>42426</v>
      </c>
      <c r="DM14" s="119">
        <v>42797</v>
      </c>
      <c r="DN14" s="119"/>
      <c r="DO14" s="127"/>
      <c r="DP14" s="127"/>
      <c r="DQ14" s="206">
        <v>42978</v>
      </c>
      <c r="DR14" s="127"/>
      <c r="DS14" s="128"/>
      <c r="DT14" s="128"/>
      <c r="DU14" s="128"/>
      <c r="DV14" s="589" t="str">
        <f t="shared" si="13"/>
        <v>0</v>
      </c>
      <c r="DW14" s="128"/>
      <c r="DX14" s="128"/>
      <c r="DY14" s="589" t="str">
        <f t="shared" si="14"/>
        <v>0</v>
      </c>
      <c r="DZ14" s="128"/>
      <c r="EA14" s="128"/>
      <c r="EB14" s="589" t="str">
        <f t="shared" si="15"/>
        <v>0</v>
      </c>
      <c r="EC14" s="128"/>
      <c r="ED14" s="128"/>
      <c r="EE14" s="589" t="str">
        <f t="shared" si="16"/>
        <v>0</v>
      </c>
      <c r="EF14" s="135"/>
      <c r="EG14" s="646"/>
      <c r="EH14" s="589" t="str">
        <f t="shared" si="17"/>
        <v>0</v>
      </c>
      <c r="EI14" s="245"/>
      <c r="EJ14" s="600"/>
      <c r="EK14" s="595"/>
      <c r="EL14" s="596" t="str">
        <f t="shared" si="18"/>
        <v>0</v>
      </c>
      <c r="EM14" s="600"/>
      <c r="EN14" s="595"/>
      <c r="EO14" s="596" t="str">
        <f t="shared" si="19"/>
        <v>0</v>
      </c>
      <c r="EP14" s="600"/>
      <c r="EQ14" s="595"/>
      <c r="ER14" s="596" t="str">
        <f t="shared" si="20"/>
        <v>0</v>
      </c>
      <c r="ES14" s="603"/>
      <c r="ET14" s="622"/>
      <c r="EU14" s="597" t="str">
        <f t="shared" si="21"/>
        <v>0</v>
      </c>
      <c r="EV14" s="598"/>
      <c r="EW14" s="599"/>
      <c r="EX14" s="596" t="str">
        <f t="shared" si="22"/>
        <v>0</v>
      </c>
      <c r="EY14" s="595"/>
      <c r="EZ14" s="600"/>
      <c r="FA14" s="596" t="str">
        <f t="shared" si="23"/>
        <v>0</v>
      </c>
      <c r="FB14" s="604"/>
      <c r="FC14" s="604"/>
      <c r="FD14" s="596" t="str">
        <f t="shared" si="24"/>
        <v>0</v>
      </c>
      <c r="FE14" s="604"/>
      <c r="FF14" s="600"/>
      <c r="FG14" s="596" t="str">
        <f t="shared" si="25"/>
        <v>0</v>
      </c>
      <c r="FH14" s="600"/>
      <c r="FI14" s="600"/>
      <c r="FJ14" s="596" t="str">
        <f t="shared" si="26"/>
        <v>0</v>
      </c>
      <c r="FK14" s="602"/>
      <c r="FL14" s="602"/>
      <c r="FM14" s="602"/>
      <c r="FN14" s="602"/>
      <c r="FO14" s="600"/>
      <c r="FP14" s="598">
        <f t="shared" si="27"/>
        <v>0</v>
      </c>
      <c r="FQ14" s="602"/>
      <c r="FR14" s="600">
        <f t="shared" si="60"/>
        <v>42151</v>
      </c>
      <c r="FS14" s="623"/>
      <c r="FT14" s="623"/>
      <c r="FU14" s="627"/>
      <c r="FV14" s="627"/>
      <c r="FW14" s="628">
        <f t="shared" si="28"/>
        <v>0</v>
      </c>
      <c r="FX14" s="628">
        <f t="shared" si="29"/>
        <v>1405.0333333333333</v>
      </c>
      <c r="FY14" s="624"/>
      <c r="FZ14" s="641" t="s">
        <v>848</v>
      </c>
      <c r="GA14" s="624"/>
      <c r="GB14" s="624"/>
      <c r="GC14" s="166"/>
      <c r="GD14" s="727">
        <v>5246631</v>
      </c>
      <c r="GE14" s="10">
        <v>5090210.4499999993</v>
      </c>
      <c r="GF14" s="477">
        <f>GP14+GT14+HA14+HT14+GY14+HE14</f>
        <v>5090210.4499999993</v>
      </c>
      <c r="GG14" s="12">
        <f t="shared" si="30"/>
        <v>0</v>
      </c>
      <c r="GH14" s="12">
        <f t="shared" si="31"/>
        <v>1964.0809715818104</v>
      </c>
      <c r="GI14" s="12">
        <f t="shared" si="32"/>
        <v>127255.26124999998</v>
      </c>
      <c r="GJ14" s="10">
        <v>4689965</v>
      </c>
      <c r="GK14" s="11"/>
      <c r="GL14" s="12">
        <f t="shared" si="33"/>
        <v>-4689965</v>
      </c>
      <c r="GM14" s="137">
        <f t="shared" si="34"/>
        <v>0.9407183282569388</v>
      </c>
      <c r="GN14" s="138"/>
      <c r="GO14" s="10">
        <v>1480537</v>
      </c>
      <c r="GP14" s="11">
        <v>1480537</v>
      </c>
      <c r="GQ14" s="23">
        <f t="shared" si="35"/>
        <v>37013.425000000003</v>
      </c>
      <c r="GR14" s="38">
        <f t="shared" si="36"/>
        <v>0</v>
      </c>
      <c r="GS14" s="10">
        <v>2895140.53</v>
      </c>
      <c r="GT14" s="11">
        <f t="shared" si="37"/>
        <v>2895140.53</v>
      </c>
      <c r="GU14" s="13">
        <v>565518</v>
      </c>
      <c r="GV14" s="13">
        <v>2329622.5299999998</v>
      </c>
      <c r="GW14" s="38">
        <f t="shared" si="38"/>
        <v>0</v>
      </c>
      <c r="GX14" s="23">
        <f t="shared" si="39"/>
        <v>72378.513249999989</v>
      </c>
      <c r="GY14" s="11">
        <v>0</v>
      </c>
      <c r="GZ14" s="10">
        <v>663000</v>
      </c>
      <c r="HA14" s="15">
        <v>663000</v>
      </c>
      <c r="HB14" s="69"/>
      <c r="HC14" s="41">
        <f t="shared" si="40"/>
        <v>0.13025001746244108</v>
      </c>
      <c r="HD14" s="329"/>
      <c r="HE14" s="15">
        <v>0</v>
      </c>
      <c r="HF14" s="24">
        <f>HA14-GZ14</f>
        <v>0</v>
      </c>
      <c r="HG14" s="23">
        <f t="shared" si="41"/>
        <v>16575</v>
      </c>
      <c r="HH14" s="52"/>
      <c r="HI14" s="24">
        <f t="shared" si="42"/>
        <v>0</v>
      </c>
      <c r="HJ14" s="51"/>
      <c r="HK14" s="51"/>
      <c r="HL14" s="40">
        <v>1151902.8490725001</v>
      </c>
      <c r="HM14" s="40">
        <v>800000</v>
      </c>
      <c r="HN14" s="23">
        <f t="shared" si="43"/>
        <v>73588.425000000003</v>
      </c>
      <c r="HO14" s="40">
        <v>0</v>
      </c>
      <c r="HP14" s="23">
        <f t="shared" si="44"/>
        <v>73588.425000000003</v>
      </c>
      <c r="HQ14" s="53">
        <f t="shared" si="45"/>
        <v>0.4949673218743304</v>
      </c>
      <c r="HR14" s="40">
        <v>295181.31</v>
      </c>
      <c r="HS14" s="482"/>
      <c r="HT14" s="483">
        <v>51532.92</v>
      </c>
      <c r="HU14" s="99">
        <f t="shared" si="46"/>
        <v>6242113.2990724994</v>
      </c>
      <c r="HV14" s="245"/>
      <c r="HW14" s="245">
        <f t="shared" si="47"/>
        <v>0</v>
      </c>
      <c r="HX14" s="119"/>
      <c r="HY14" s="245"/>
      <c r="HZ14" s="245"/>
      <c r="IA14" s="119"/>
      <c r="IB14" s="119"/>
      <c r="IC14" s="245"/>
      <c r="ID14" s="119"/>
      <c r="IE14" s="245"/>
      <c r="IF14" s="119"/>
      <c r="IG14" s="245"/>
      <c r="IH14" s="120"/>
      <c r="II14" s="350"/>
      <c r="IJ14" s="341"/>
      <c r="IK14" s="341"/>
      <c r="IL14" s="128"/>
      <c r="IM14" s="245"/>
      <c r="IN14" s="128"/>
      <c r="IO14" s="245"/>
      <c r="IP14" s="351"/>
      <c r="IQ14" s="351"/>
      <c r="IR14" s="351"/>
      <c r="IS14" s="351"/>
      <c r="IT14" s="128"/>
      <c r="IU14" s="245"/>
      <c r="IV14" s="289"/>
      <c r="IW14" s="289"/>
      <c r="IX14" s="289"/>
      <c r="IY14" s="289"/>
      <c r="IZ14" s="245"/>
      <c r="JA14" s="128"/>
      <c r="JB14" s="120"/>
      <c r="JC14" s="128"/>
      <c r="JD14" s="128"/>
      <c r="JE14" s="120"/>
    </row>
    <row r="15" spans="1:265" ht="75" customHeight="1">
      <c r="A15" s="86" t="s">
        <v>339</v>
      </c>
      <c r="B15" s="7" t="s">
        <v>35</v>
      </c>
      <c r="C15" s="7" t="s">
        <v>117</v>
      </c>
      <c r="D15" s="7">
        <v>2012</v>
      </c>
      <c r="E15" s="7" t="s">
        <v>88</v>
      </c>
      <c r="F15" s="7" t="s">
        <v>94</v>
      </c>
      <c r="G15" s="7" t="s">
        <v>297</v>
      </c>
      <c r="H15" s="7" t="s">
        <v>265</v>
      </c>
      <c r="I15" s="56"/>
      <c r="J15" s="56"/>
      <c r="K15" s="275"/>
      <c r="L15" s="165"/>
      <c r="M15" s="165"/>
      <c r="N15" s="165"/>
      <c r="O15" s="219">
        <v>5530</v>
      </c>
      <c r="P15" s="219">
        <f>Q15</f>
        <v>1300000</v>
      </c>
      <c r="Q15" s="219">
        <v>1300000</v>
      </c>
      <c r="R15" s="219">
        <f t="shared" si="51"/>
        <v>17333.333333333332</v>
      </c>
      <c r="S15" s="219">
        <f t="shared" si="52"/>
        <v>235.08137432188065</v>
      </c>
      <c r="T15" s="219">
        <f t="shared" si="53"/>
        <v>235.08137432188065</v>
      </c>
      <c r="U15" s="219">
        <f t="shared" si="54"/>
        <v>198.20517589947033</v>
      </c>
      <c r="V15" s="219">
        <f t="shared" si="55"/>
        <v>17333.333333333332</v>
      </c>
      <c r="W15" s="219">
        <f t="shared" si="56"/>
        <v>73.733333333333334</v>
      </c>
      <c r="X15" s="219"/>
      <c r="Y15" s="221">
        <f t="shared" si="57"/>
        <v>1.1860506329113925</v>
      </c>
      <c r="Z15" s="220" t="s">
        <v>216</v>
      </c>
      <c r="AA15" s="222"/>
      <c r="AB15" s="223"/>
      <c r="AC15" s="7" t="s">
        <v>16</v>
      </c>
      <c r="AD15" s="345">
        <f t="shared" si="0"/>
        <v>75</v>
      </c>
      <c r="AE15" s="8"/>
      <c r="AF15" s="7">
        <v>75</v>
      </c>
      <c r="AG15" s="56"/>
      <c r="AH15" s="56"/>
      <c r="AI15" s="9">
        <v>6558.86</v>
      </c>
      <c r="AJ15" s="85">
        <v>6558.86</v>
      </c>
      <c r="AK15" s="9">
        <f t="shared" si="1"/>
        <v>87.451466666666661</v>
      </c>
      <c r="AL15" s="81">
        <f>5/AD15</f>
        <v>6.6666666666666666E-2</v>
      </c>
      <c r="AM15" s="81">
        <f>10/AD15</f>
        <v>0.13333333333333333</v>
      </c>
      <c r="AN15" s="81">
        <f>30/AD15</f>
        <v>0.4</v>
      </c>
      <c r="AO15" s="81">
        <f>25/AD15</f>
        <v>0.33333333333333331</v>
      </c>
      <c r="AP15" s="81">
        <f>5/AD15</f>
        <v>6.6666666666666666E-2</v>
      </c>
      <c r="AQ15" s="9">
        <v>697.88</v>
      </c>
      <c r="AR15" s="79">
        <v>0</v>
      </c>
      <c r="AS15" s="81">
        <f t="shared" si="58"/>
        <v>0</v>
      </c>
      <c r="AT15" s="60">
        <v>7</v>
      </c>
      <c r="AU15" s="59" t="s">
        <v>621</v>
      </c>
      <c r="AV15" s="9" t="s">
        <v>125</v>
      </c>
      <c r="AW15" s="56"/>
      <c r="AX15" s="196">
        <v>40963</v>
      </c>
      <c r="AY15" s="467" t="s">
        <v>12</v>
      </c>
      <c r="AZ15" s="467" t="s">
        <v>241</v>
      </c>
      <c r="BA15" s="1"/>
      <c r="BB15" s="216">
        <v>41094</v>
      </c>
      <c r="BC15" s="102"/>
      <c r="BD15" s="102"/>
      <c r="BE15" s="216">
        <v>41183</v>
      </c>
      <c r="BF15" s="102"/>
      <c r="BG15" s="472"/>
      <c r="BH15" s="213"/>
      <c r="BI15" s="105"/>
      <c r="BJ15" s="105"/>
      <c r="BK15" s="322">
        <v>41319</v>
      </c>
      <c r="BL15" s="322">
        <f t="shared" si="2"/>
        <v>42049</v>
      </c>
      <c r="BM15" s="322">
        <f t="shared" si="3"/>
        <v>42414</v>
      </c>
      <c r="BN15" s="322" t="str">
        <f t="shared" si="49"/>
        <v>oui</v>
      </c>
      <c r="BO15" s="105"/>
      <c r="BP15" s="472"/>
      <c r="BQ15" s="472"/>
      <c r="BR15" s="475"/>
      <c r="BS15" s="117"/>
      <c r="BT15" s="475"/>
      <c r="BU15" s="167" t="s">
        <v>154</v>
      </c>
      <c r="BV15" s="333">
        <v>41270</v>
      </c>
      <c r="BW15" s="268"/>
      <c r="BX15" s="168">
        <v>12054387.02</v>
      </c>
      <c r="BY15" s="174">
        <f t="shared" si="50"/>
        <v>41817</v>
      </c>
      <c r="BZ15" s="268">
        <f>DATE(YEAR(BV15),MONTH(BV15)+24,DAY(BV15))</f>
        <v>42000</v>
      </c>
      <c r="CA15" s="373">
        <v>41617</v>
      </c>
      <c r="CB15" s="268">
        <v>42297</v>
      </c>
      <c r="CC15" s="681">
        <f t="shared" si="59"/>
        <v>1.1666666666666667</v>
      </c>
      <c r="CD15" s="511"/>
      <c r="CE15" s="380">
        <v>41428</v>
      </c>
      <c r="CF15" s="374">
        <v>2013</v>
      </c>
      <c r="CG15" s="495">
        <f t="shared" si="4"/>
        <v>11.133333333333333</v>
      </c>
      <c r="CH15" s="256">
        <v>20</v>
      </c>
      <c r="CI15" s="256">
        <f t="shared" si="5"/>
        <v>21</v>
      </c>
      <c r="CJ15" s="256">
        <f t="shared" si="6"/>
        <v>28</v>
      </c>
      <c r="CK15" s="256">
        <f t="shared" si="7"/>
        <v>29</v>
      </c>
      <c r="CL15" s="256">
        <f t="shared" si="8"/>
        <v>8</v>
      </c>
      <c r="CM15" s="256">
        <f t="shared" si="9"/>
        <v>8</v>
      </c>
      <c r="CN15" s="247">
        <f>399634.976353658/12</f>
        <v>33302.91469613817</v>
      </c>
      <c r="CO15" s="247">
        <f t="shared" si="10"/>
        <v>266423.31756910536</v>
      </c>
      <c r="CP15" s="250" t="s">
        <v>133</v>
      </c>
      <c r="CQ15" s="652">
        <f t="shared" si="11"/>
        <v>42038</v>
      </c>
      <c r="CR15" s="380">
        <v>42296</v>
      </c>
      <c r="CS15" s="387">
        <f>DATE(YEAR(CA15)+2,MONTH(CA15),DAY(CA15))</f>
        <v>42347</v>
      </c>
      <c r="CT15" s="121">
        <v>42332</v>
      </c>
      <c r="CU15" s="121"/>
      <c r="CV15" s="673">
        <v>42332</v>
      </c>
      <c r="CW15" s="390">
        <v>42332</v>
      </c>
      <c r="CX15" s="515">
        <v>2015</v>
      </c>
      <c r="CY15" s="121"/>
      <c r="CZ15" s="127">
        <v>42679</v>
      </c>
      <c r="DA15" s="127"/>
      <c r="DB15" s="127"/>
      <c r="DC15" s="127"/>
      <c r="DD15" s="127"/>
      <c r="DE15" s="121">
        <v>42656</v>
      </c>
      <c r="DF15" s="127"/>
      <c r="DG15" s="121" t="s">
        <v>133</v>
      </c>
      <c r="DH15" s="121">
        <v>42424</v>
      </c>
      <c r="DI15" s="127"/>
      <c r="DJ15" s="127"/>
      <c r="DK15" s="127"/>
      <c r="DL15" s="127"/>
      <c r="DM15" s="249">
        <v>43136</v>
      </c>
      <c r="DN15" s="249"/>
      <c r="DO15" s="249">
        <v>42808</v>
      </c>
      <c r="DP15" s="249"/>
      <c r="DQ15" s="127"/>
      <c r="DR15" s="127"/>
      <c r="DS15" s="128"/>
      <c r="DT15" s="128"/>
      <c r="DU15" s="128"/>
      <c r="DV15" s="589" t="str">
        <f t="shared" si="13"/>
        <v>0</v>
      </c>
      <c r="DW15" s="128"/>
      <c r="DX15" s="128"/>
      <c r="DY15" s="589" t="str">
        <f t="shared" si="14"/>
        <v>0</v>
      </c>
      <c r="DZ15" s="128"/>
      <c r="EA15" s="128"/>
      <c r="EB15" s="589" t="str">
        <f t="shared" si="15"/>
        <v>0</v>
      </c>
      <c r="EC15" s="128"/>
      <c r="ED15" s="128"/>
      <c r="EE15" s="589" t="str">
        <f t="shared" si="16"/>
        <v>0</v>
      </c>
      <c r="EF15" s="135"/>
      <c r="EG15" s="646"/>
      <c r="EH15" s="589" t="str">
        <f t="shared" si="17"/>
        <v>0</v>
      </c>
      <c r="EI15" s="245"/>
      <c r="EJ15" s="600"/>
      <c r="EK15" s="595"/>
      <c r="EL15" s="596" t="str">
        <f t="shared" si="18"/>
        <v>0</v>
      </c>
      <c r="EM15" s="600"/>
      <c r="EN15" s="595"/>
      <c r="EO15" s="596" t="str">
        <f t="shared" si="19"/>
        <v>0</v>
      </c>
      <c r="EP15" s="600"/>
      <c r="EQ15" s="595"/>
      <c r="ER15" s="596" t="str">
        <f t="shared" si="20"/>
        <v>0</v>
      </c>
      <c r="ES15" s="603"/>
      <c r="ET15" s="622"/>
      <c r="EU15" s="597" t="str">
        <f t="shared" si="21"/>
        <v>0</v>
      </c>
      <c r="EV15" s="598"/>
      <c r="EW15" s="599"/>
      <c r="EX15" s="596" t="str">
        <f t="shared" si="22"/>
        <v>0</v>
      </c>
      <c r="EY15" s="595"/>
      <c r="EZ15" s="600"/>
      <c r="FA15" s="596" t="str">
        <f t="shared" si="23"/>
        <v>0</v>
      </c>
      <c r="FB15" s="604"/>
      <c r="FC15" s="604"/>
      <c r="FD15" s="596" t="str">
        <f t="shared" si="24"/>
        <v>0</v>
      </c>
      <c r="FE15" s="604"/>
      <c r="FF15" s="602"/>
      <c r="FG15" s="596" t="str">
        <f t="shared" si="25"/>
        <v>0</v>
      </c>
      <c r="FH15" s="600"/>
      <c r="FI15" s="600"/>
      <c r="FJ15" s="596" t="str">
        <f t="shared" si="26"/>
        <v>0</v>
      </c>
      <c r="FK15" s="602"/>
      <c r="FL15" s="602"/>
      <c r="FM15" s="602"/>
      <c r="FN15" s="602"/>
      <c r="FO15" s="600"/>
      <c r="FP15" s="598">
        <f t="shared" si="27"/>
        <v>0</v>
      </c>
      <c r="FQ15" s="602"/>
      <c r="FR15" s="600">
        <f t="shared" si="60"/>
        <v>42332</v>
      </c>
      <c r="FS15" s="623"/>
      <c r="FT15" s="623"/>
      <c r="FU15" s="627"/>
      <c r="FV15" s="627"/>
      <c r="FW15" s="628">
        <f t="shared" si="28"/>
        <v>0</v>
      </c>
      <c r="FX15" s="628">
        <f t="shared" si="29"/>
        <v>1411.0666666666666</v>
      </c>
      <c r="FY15" s="624"/>
      <c r="FZ15" s="641" t="s">
        <v>851</v>
      </c>
      <c r="GA15" s="624"/>
      <c r="GB15" s="624"/>
      <c r="GC15" s="166"/>
      <c r="GD15" s="727">
        <v>11693100</v>
      </c>
      <c r="GE15" s="10">
        <v>12349548.309999999</v>
      </c>
      <c r="GF15" s="477">
        <f>GP15+GT15+HA15+HT15+GY15+HE15</f>
        <v>12349548.309999999</v>
      </c>
      <c r="GG15" s="12">
        <f t="shared" si="30"/>
        <v>0</v>
      </c>
      <c r="GH15" s="12">
        <f t="shared" si="31"/>
        <v>1882.8803038942742</v>
      </c>
      <c r="GI15" s="12">
        <f t="shared" si="32"/>
        <v>164660.64413333332</v>
      </c>
      <c r="GJ15" s="10"/>
      <c r="GK15" s="11"/>
      <c r="GL15" s="12">
        <f t="shared" si="33"/>
        <v>0</v>
      </c>
      <c r="GM15" s="137">
        <f t="shared" si="34"/>
        <v>0</v>
      </c>
      <c r="GN15" s="138"/>
      <c r="GO15" s="10">
        <v>3816022.8</v>
      </c>
      <c r="GP15" s="11">
        <v>3816022.8</v>
      </c>
      <c r="GQ15" s="23">
        <f t="shared" si="35"/>
        <v>50880.303999999996</v>
      </c>
      <c r="GR15" s="38">
        <f t="shared" si="36"/>
        <v>0</v>
      </c>
      <c r="GS15" s="10">
        <v>7538525.5099999998</v>
      </c>
      <c r="GT15" s="11">
        <f t="shared" si="37"/>
        <v>7538525.5099999998</v>
      </c>
      <c r="GU15" s="13">
        <v>1459253.6</v>
      </c>
      <c r="GV15" s="13">
        <v>6079271.9100000001</v>
      </c>
      <c r="GW15" s="38">
        <f t="shared" si="38"/>
        <v>0</v>
      </c>
      <c r="GX15" s="23">
        <f t="shared" si="39"/>
        <v>100513.67346666666</v>
      </c>
      <c r="GY15" s="11">
        <v>0</v>
      </c>
      <c r="GZ15" s="10">
        <v>995000</v>
      </c>
      <c r="HA15" s="15">
        <v>995000</v>
      </c>
      <c r="HB15" s="69"/>
      <c r="HC15" s="41">
        <f t="shared" si="40"/>
        <v>8.0569748384586873E-2</v>
      </c>
      <c r="HD15" s="329"/>
      <c r="HE15" s="15">
        <v>0</v>
      </c>
      <c r="HF15" s="24">
        <f>HA15-GZ15</f>
        <v>0</v>
      </c>
      <c r="HG15" s="23">
        <f t="shared" si="41"/>
        <v>13266.666666666666</v>
      </c>
      <c r="HH15" s="52"/>
      <c r="HI15" s="24">
        <f t="shared" si="42"/>
        <v>0</v>
      </c>
      <c r="HJ15" s="51"/>
      <c r="HK15" s="51"/>
      <c r="HL15" s="40">
        <v>0</v>
      </c>
      <c r="HM15" s="40">
        <v>0</v>
      </c>
      <c r="HN15" s="23">
        <f t="shared" si="43"/>
        <v>64146.970666666661</v>
      </c>
      <c r="HO15" s="40">
        <v>0</v>
      </c>
      <c r="HP15" s="23">
        <f t="shared" si="44"/>
        <v>64146.970666666661</v>
      </c>
      <c r="HQ15" s="53">
        <f t="shared" si="45"/>
        <v>0.38957075021960869</v>
      </c>
      <c r="HR15" s="40"/>
      <c r="HS15" s="40"/>
      <c r="HT15" s="11"/>
      <c r="HU15" s="42">
        <f t="shared" si="46"/>
        <v>12349548.309999999</v>
      </c>
      <c r="HV15" s="245"/>
      <c r="HW15" s="245">
        <f t="shared" si="47"/>
        <v>0</v>
      </c>
      <c r="HX15" s="119"/>
      <c r="HY15" s="245"/>
      <c r="HZ15" s="245"/>
      <c r="IA15" s="119"/>
      <c r="IB15" s="119"/>
      <c r="IC15" s="245"/>
      <c r="ID15" s="119"/>
      <c r="IE15" s="245"/>
      <c r="IF15" s="119"/>
      <c r="IG15" s="245"/>
      <c r="IH15" s="120"/>
      <c r="II15" s="350"/>
      <c r="IJ15" s="341"/>
      <c r="IK15" s="341"/>
      <c r="IL15" s="128"/>
      <c r="IM15" s="245"/>
      <c r="IN15" s="128"/>
      <c r="IO15" s="245"/>
      <c r="IP15" s="351"/>
      <c r="IQ15" s="351"/>
      <c r="IR15" s="351"/>
      <c r="IS15" s="351"/>
      <c r="IT15" s="289"/>
      <c r="IU15" s="289"/>
      <c r="IV15" s="289"/>
      <c r="IW15" s="289"/>
      <c r="IX15" s="289"/>
      <c r="IY15" s="289"/>
      <c r="IZ15" s="245"/>
      <c r="JA15" s="128"/>
      <c r="JB15" s="120"/>
      <c r="JC15" s="128"/>
      <c r="JD15" s="128"/>
      <c r="JE15" s="120"/>
    </row>
    <row r="16" spans="1:265" ht="35.1" customHeight="1">
      <c r="A16" s="25" t="s">
        <v>78</v>
      </c>
      <c r="B16" s="7" t="s">
        <v>35</v>
      </c>
      <c r="C16" s="7" t="s">
        <v>117</v>
      </c>
      <c r="D16" s="7">
        <v>2012</v>
      </c>
      <c r="E16" s="7" t="s">
        <v>87</v>
      </c>
      <c r="F16" s="7"/>
      <c r="G16" s="7" t="s">
        <v>190</v>
      </c>
      <c r="H16" s="7" t="s">
        <v>634</v>
      </c>
      <c r="I16" s="56"/>
      <c r="J16" s="56"/>
      <c r="K16" s="275"/>
      <c r="L16" s="165"/>
      <c r="M16" s="165"/>
      <c r="N16" s="165"/>
      <c r="O16" s="219">
        <v>7275</v>
      </c>
      <c r="P16" s="219">
        <f>Q16</f>
        <v>773000</v>
      </c>
      <c r="Q16" s="219">
        <v>773000</v>
      </c>
      <c r="R16" s="219">
        <f t="shared" si="51"/>
        <v>9202.3809523809523</v>
      </c>
      <c r="S16" s="219">
        <f t="shared" si="52"/>
        <v>106.25429553264605</v>
      </c>
      <c r="T16" s="219">
        <f t="shared" si="53"/>
        <v>106.25429553264605</v>
      </c>
      <c r="U16" s="219">
        <f t="shared" si="54"/>
        <v>168.94476183815397</v>
      </c>
      <c r="V16" s="219">
        <f t="shared" si="55"/>
        <v>9202.3809523809523</v>
      </c>
      <c r="W16" s="219">
        <f t="shared" si="56"/>
        <v>86.607142857142861</v>
      </c>
      <c r="X16" s="219"/>
      <c r="Y16" s="221">
        <f t="shared" si="57"/>
        <v>0.62892920962199317</v>
      </c>
      <c r="Z16" s="220" t="s">
        <v>197</v>
      </c>
      <c r="AA16" s="222">
        <v>530</v>
      </c>
      <c r="AB16" s="223">
        <v>0.1</v>
      </c>
      <c r="AC16" s="7" t="s">
        <v>15</v>
      </c>
      <c r="AD16" s="345">
        <f t="shared" si="0"/>
        <v>84</v>
      </c>
      <c r="AE16" s="7">
        <v>84</v>
      </c>
      <c r="AF16" s="8"/>
      <c r="AG16" s="67"/>
      <c r="AH16" s="67"/>
      <c r="AI16" s="9">
        <v>4575.46</v>
      </c>
      <c r="AJ16" s="85">
        <v>4575.46</v>
      </c>
      <c r="AK16" s="9">
        <f t="shared" si="1"/>
        <v>54.469761904761903</v>
      </c>
      <c r="AL16" s="62"/>
      <c r="AM16" s="62"/>
      <c r="AN16" s="62"/>
      <c r="AO16" s="62"/>
      <c r="AP16" s="62"/>
      <c r="AQ16" s="9">
        <v>2038</v>
      </c>
      <c r="AR16" s="79">
        <v>0</v>
      </c>
      <c r="AS16" s="81">
        <f t="shared" si="58"/>
        <v>0</v>
      </c>
      <c r="AT16" s="60">
        <v>4</v>
      </c>
      <c r="AU16" s="59" t="s">
        <v>621</v>
      </c>
      <c r="AV16" s="9"/>
      <c r="AW16" s="56"/>
      <c r="AX16" s="196">
        <v>40963</v>
      </c>
      <c r="AY16" s="467" t="s">
        <v>12</v>
      </c>
      <c r="AZ16" s="467" t="s">
        <v>237</v>
      </c>
      <c r="BA16" s="1"/>
      <c r="BB16" s="216">
        <v>41144</v>
      </c>
      <c r="BC16" s="102">
        <v>42481</v>
      </c>
      <c r="BD16" s="102"/>
      <c r="BE16" s="216">
        <v>41199</v>
      </c>
      <c r="BF16" s="102"/>
      <c r="BG16" s="472"/>
      <c r="BH16" s="213"/>
      <c r="BI16" s="105"/>
      <c r="BJ16" s="105"/>
      <c r="BK16" s="321"/>
      <c r="BL16" s="322">
        <f t="shared" si="2"/>
        <v>731</v>
      </c>
      <c r="BM16" s="322">
        <f t="shared" si="3"/>
        <v>1096</v>
      </c>
      <c r="BN16" s="322" t="str">
        <f t="shared" si="49"/>
        <v>oui</v>
      </c>
      <c r="BO16" s="105"/>
      <c r="BP16" s="472"/>
      <c r="BQ16" s="105"/>
      <c r="BR16" s="117"/>
      <c r="BS16" s="117"/>
      <c r="BT16" s="117"/>
      <c r="BU16" s="167" t="s">
        <v>154</v>
      </c>
      <c r="BV16" s="333">
        <v>41270</v>
      </c>
      <c r="BW16" s="268" t="s">
        <v>133</v>
      </c>
      <c r="BX16" s="168">
        <v>9461576.1300000008</v>
      </c>
      <c r="BY16" s="174">
        <f t="shared" si="50"/>
        <v>41817</v>
      </c>
      <c r="BZ16" s="268">
        <f>DATE(YEAR(BV16),MONTH(BV16)+24,DAY(BV16))</f>
        <v>42000</v>
      </c>
      <c r="CA16" s="373">
        <v>41549</v>
      </c>
      <c r="CB16" s="268">
        <v>42138</v>
      </c>
      <c r="CC16" s="681">
        <f t="shared" si="59"/>
        <v>-6.1</v>
      </c>
      <c r="CD16" s="511"/>
      <c r="CE16" s="382">
        <v>41295</v>
      </c>
      <c r="CF16" s="374">
        <v>2013</v>
      </c>
      <c r="CG16" s="495">
        <f t="shared" si="4"/>
        <v>5.0333333333333332</v>
      </c>
      <c r="CH16" s="122">
        <v>19</v>
      </c>
      <c r="CI16" s="122">
        <f t="shared" si="5"/>
        <v>20</v>
      </c>
      <c r="CJ16" s="122">
        <f t="shared" si="6"/>
        <v>20</v>
      </c>
      <c r="CK16" s="122">
        <f t="shared" si="7"/>
        <v>21</v>
      </c>
      <c r="CL16" s="122">
        <f t="shared" si="8"/>
        <v>1</v>
      </c>
      <c r="CM16" s="122">
        <f t="shared" si="9"/>
        <v>1</v>
      </c>
      <c r="CN16" s="246">
        <f>403704.659129873/12</f>
        <v>33642.054927489415</v>
      </c>
      <c r="CO16" s="246">
        <f t="shared" si="10"/>
        <v>33642.054927489415</v>
      </c>
      <c r="CP16" s="121" t="s">
        <v>133</v>
      </c>
      <c r="CQ16" s="514">
        <f t="shared" si="11"/>
        <v>41872</v>
      </c>
      <c r="CR16" s="382">
        <v>41927</v>
      </c>
      <c r="CS16" s="386"/>
      <c r="CT16" s="121">
        <v>41935</v>
      </c>
      <c r="CU16" s="250"/>
      <c r="CV16" s="673">
        <v>41955</v>
      </c>
      <c r="CW16" s="390">
        <v>41955</v>
      </c>
      <c r="CX16" s="674">
        <v>2014</v>
      </c>
      <c r="CY16" s="121"/>
      <c r="CZ16" s="128"/>
      <c r="DA16" s="128"/>
      <c r="DB16" s="128"/>
      <c r="DC16" s="128"/>
      <c r="DD16" s="127"/>
      <c r="DE16" s="206">
        <v>42250</v>
      </c>
      <c r="DF16" s="206">
        <f>DATE(YEAR(CR16)+1,MONTH(CR16),DAY(CR16))</f>
        <v>42292</v>
      </c>
      <c r="DG16" s="206">
        <v>41968</v>
      </c>
      <c r="DH16" s="128">
        <v>41969</v>
      </c>
      <c r="DI16" s="128" t="s">
        <v>133</v>
      </c>
      <c r="DJ16" s="128">
        <v>42306</v>
      </c>
      <c r="DK16" s="127"/>
      <c r="DL16" s="206" t="s">
        <v>133</v>
      </c>
      <c r="DM16" s="119">
        <v>42475</v>
      </c>
      <c r="DN16" s="119"/>
      <c r="DO16" s="119"/>
      <c r="DP16" s="119"/>
      <c r="DQ16" s="128">
        <v>42219</v>
      </c>
      <c r="DR16" s="128"/>
      <c r="DS16" s="128"/>
      <c r="DT16" s="128"/>
      <c r="DU16" s="128"/>
      <c r="DV16" s="589" t="str">
        <f t="shared" si="13"/>
        <v>0</v>
      </c>
      <c r="DW16" s="128"/>
      <c r="DX16" s="128"/>
      <c r="DY16" s="589" t="str">
        <f t="shared" si="14"/>
        <v>0</v>
      </c>
      <c r="DZ16" s="128"/>
      <c r="EA16" s="128"/>
      <c r="EB16" s="589" t="str">
        <f t="shared" si="15"/>
        <v>0</v>
      </c>
      <c r="EC16" s="128"/>
      <c r="ED16" s="128"/>
      <c r="EE16" s="589" t="str">
        <f t="shared" si="16"/>
        <v>0</v>
      </c>
      <c r="EF16" s="135"/>
      <c r="EG16" s="646"/>
      <c r="EH16" s="589" t="str">
        <f t="shared" si="17"/>
        <v>0</v>
      </c>
      <c r="EI16" s="245"/>
      <c r="EJ16" s="128"/>
      <c r="EK16" s="245"/>
      <c r="EL16" s="589" t="str">
        <f t="shared" si="18"/>
        <v>0</v>
      </c>
      <c r="EM16" s="128"/>
      <c r="EN16" s="245"/>
      <c r="EO16" s="589" t="str">
        <f t="shared" si="19"/>
        <v>0</v>
      </c>
      <c r="EP16" s="128"/>
      <c r="EQ16" s="245"/>
      <c r="ER16" s="589" t="str">
        <f t="shared" si="20"/>
        <v>0</v>
      </c>
      <c r="ES16" s="648"/>
      <c r="ET16" s="644"/>
      <c r="EU16" s="593" t="str">
        <f t="shared" si="21"/>
        <v>0</v>
      </c>
      <c r="EV16" s="135"/>
      <c r="EW16" s="649"/>
      <c r="EX16" s="589" t="str">
        <f t="shared" si="22"/>
        <v>0</v>
      </c>
      <c r="EY16" s="128"/>
      <c r="EZ16" s="128"/>
      <c r="FA16" s="589" t="str">
        <f t="shared" si="23"/>
        <v>0</v>
      </c>
      <c r="FB16" s="128"/>
      <c r="FC16" s="128"/>
      <c r="FD16" s="589" t="str">
        <f t="shared" si="24"/>
        <v>0</v>
      </c>
      <c r="FE16" s="128"/>
      <c r="FF16" s="128"/>
      <c r="FG16" s="589" t="str">
        <f t="shared" si="25"/>
        <v>0</v>
      </c>
      <c r="FH16" s="128"/>
      <c r="FI16" s="128"/>
      <c r="FJ16" s="589" t="str">
        <f t="shared" si="26"/>
        <v>0</v>
      </c>
      <c r="FK16" s="128"/>
      <c r="FL16" s="128"/>
      <c r="FM16" s="128"/>
      <c r="FN16" s="600"/>
      <c r="FO16" s="600"/>
      <c r="FP16" s="598">
        <f t="shared" si="27"/>
        <v>0</v>
      </c>
      <c r="FQ16" s="600"/>
      <c r="FR16" s="600">
        <f t="shared" si="60"/>
        <v>41955</v>
      </c>
      <c r="FS16" s="623"/>
      <c r="FT16" s="623"/>
      <c r="FU16" s="627"/>
      <c r="FV16" s="627"/>
      <c r="FW16" s="628">
        <f t="shared" si="28"/>
        <v>0</v>
      </c>
      <c r="FX16" s="628">
        <f t="shared" si="29"/>
        <v>1398.5</v>
      </c>
      <c r="FY16" s="624"/>
      <c r="FZ16" s="641"/>
      <c r="GA16" s="624"/>
      <c r="GB16" s="624"/>
      <c r="GC16" s="166"/>
      <c r="GD16" s="655"/>
      <c r="GE16" s="10">
        <v>9756378.3699999992</v>
      </c>
      <c r="GF16" s="477">
        <f>GP16+GT16+HA16+HT16+GY16+HE16</f>
        <v>9756378.3699999992</v>
      </c>
      <c r="GG16" s="12">
        <f t="shared" si="30"/>
        <v>0</v>
      </c>
      <c r="GH16" s="12">
        <f t="shared" si="31"/>
        <v>2132.327322280164</v>
      </c>
      <c r="GI16" s="12">
        <f t="shared" si="32"/>
        <v>116147.36154761903</v>
      </c>
      <c r="GJ16" s="10">
        <v>8749715</v>
      </c>
      <c r="GK16" s="11"/>
      <c r="GL16" s="12">
        <f t="shared" si="33"/>
        <v>-8749715</v>
      </c>
      <c r="GM16" s="137">
        <f t="shared" si="34"/>
        <v>0.91565319386029509</v>
      </c>
      <c r="GN16" s="138"/>
      <c r="GO16" s="10">
        <v>3263643</v>
      </c>
      <c r="GP16" s="11">
        <v>3263643</v>
      </c>
      <c r="GQ16" s="23">
        <f t="shared" si="35"/>
        <v>38852.892857142855</v>
      </c>
      <c r="GR16" s="38">
        <f t="shared" si="36"/>
        <v>0</v>
      </c>
      <c r="GS16" s="10">
        <v>6429606.3699999992</v>
      </c>
      <c r="GT16" s="11">
        <f t="shared" si="37"/>
        <v>6429606.3699999992</v>
      </c>
      <c r="GU16" s="13">
        <v>1639468.02</v>
      </c>
      <c r="GV16" s="13">
        <v>4790138.3499999996</v>
      </c>
      <c r="GW16" s="38">
        <f t="shared" si="38"/>
        <v>0</v>
      </c>
      <c r="GX16" s="23">
        <f t="shared" si="39"/>
        <v>76542.932976190466</v>
      </c>
      <c r="GY16" s="11">
        <v>0</v>
      </c>
      <c r="GZ16" s="10">
        <v>1</v>
      </c>
      <c r="HA16" s="15">
        <v>1</v>
      </c>
      <c r="HB16" s="69"/>
      <c r="HC16" s="41">
        <f t="shared" si="40"/>
        <v>1.0249704983510188E-7</v>
      </c>
      <c r="HD16" s="329"/>
      <c r="HE16" s="15">
        <v>63128</v>
      </c>
      <c r="HF16" s="24">
        <f>HA16-GZ16</f>
        <v>0</v>
      </c>
      <c r="HG16" s="23">
        <f t="shared" si="41"/>
        <v>1.1904761904761904E-2</v>
      </c>
      <c r="HH16" s="52"/>
      <c r="HI16" s="24">
        <f t="shared" si="42"/>
        <v>0</v>
      </c>
      <c r="HJ16" s="51"/>
      <c r="HK16" s="51"/>
      <c r="HL16" s="40">
        <v>0</v>
      </c>
      <c r="HM16" s="40">
        <v>0</v>
      </c>
      <c r="HN16" s="23">
        <f t="shared" si="43"/>
        <v>38852.904761904763</v>
      </c>
      <c r="HO16" s="40">
        <v>0</v>
      </c>
      <c r="HP16" s="23">
        <f t="shared" si="44"/>
        <v>38852.904761904763</v>
      </c>
      <c r="HQ16" s="53">
        <f t="shared" si="45"/>
        <v>0.33451388171203122</v>
      </c>
      <c r="HR16" s="40"/>
      <c r="HS16" s="40"/>
      <c r="HT16" s="11">
        <v>0</v>
      </c>
      <c r="HU16" s="42">
        <f t="shared" si="46"/>
        <v>9756378.3699999992</v>
      </c>
      <c r="HV16" s="245"/>
      <c r="HW16" s="245">
        <f t="shared" si="47"/>
        <v>0</v>
      </c>
      <c r="HX16" s="119"/>
      <c r="HY16" s="245"/>
      <c r="HZ16" s="245"/>
      <c r="IA16" s="119"/>
      <c r="IB16" s="119"/>
      <c r="IC16" s="245"/>
      <c r="ID16" s="119"/>
      <c r="IE16" s="245"/>
      <c r="IF16" s="119"/>
      <c r="IG16" s="245"/>
      <c r="IH16" s="120"/>
      <c r="II16" s="350"/>
      <c r="IJ16" s="341"/>
      <c r="IK16" s="341"/>
      <c r="IL16" s="128"/>
      <c r="IM16" s="245"/>
      <c r="IN16" s="128"/>
      <c r="IO16" s="245"/>
      <c r="IP16" s="351"/>
      <c r="IQ16" s="351"/>
      <c r="IR16" s="351"/>
      <c r="IS16" s="351"/>
      <c r="IT16" s="289"/>
      <c r="IU16" s="289"/>
      <c r="IV16" s="289"/>
      <c r="IW16" s="289"/>
      <c r="IX16" s="289"/>
      <c r="IY16" s="289"/>
      <c r="IZ16" s="245"/>
      <c r="JA16" s="128"/>
      <c r="JB16" s="120"/>
      <c r="JC16" s="128"/>
      <c r="JD16" s="128"/>
      <c r="JE16" s="120"/>
    </row>
    <row r="17" spans="1:265" ht="143.25" customHeight="1">
      <c r="A17" s="25" t="s">
        <v>76</v>
      </c>
      <c r="B17" s="7" t="s">
        <v>40</v>
      </c>
      <c r="C17" s="7" t="s">
        <v>119</v>
      </c>
      <c r="D17" s="7">
        <v>2012</v>
      </c>
      <c r="E17" s="7" t="s">
        <v>83</v>
      </c>
      <c r="F17" s="7" t="s">
        <v>30</v>
      </c>
      <c r="G17" s="7" t="s">
        <v>297</v>
      </c>
      <c r="H17" s="7" t="s">
        <v>265</v>
      </c>
      <c r="I17" s="56" t="s">
        <v>125</v>
      </c>
      <c r="J17" s="56"/>
      <c r="K17" s="275"/>
      <c r="L17" s="165"/>
      <c r="M17" s="165"/>
      <c r="N17" s="165"/>
      <c r="O17" s="219">
        <v>2671</v>
      </c>
      <c r="P17" s="219">
        <v>176000</v>
      </c>
      <c r="Q17" s="219">
        <v>110833</v>
      </c>
      <c r="R17" s="219">
        <f t="shared" si="51"/>
        <v>12571.428571428571</v>
      </c>
      <c r="S17" s="219">
        <f t="shared" si="52"/>
        <v>65.89292399850244</v>
      </c>
      <c r="T17" s="219">
        <f t="shared" si="53"/>
        <v>41.494945713216026</v>
      </c>
      <c r="U17" s="219">
        <f t="shared" si="54"/>
        <v>99.936881779573142</v>
      </c>
      <c r="V17" s="219">
        <f t="shared" si="55"/>
        <v>7916.6428571428569</v>
      </c>
      <c r="W17" s="219">
        <f t="shared" si="56"/>
        <v>190.78571428571428</v>
      </c>
      <c r="X17" s="220">
        <v>748.11</v>
      </c>
      <c r="Y17" s="221">
        <f t="shared" si="57"/>
        <v>0.41521153126169974</v>
      </c>
      <c r="Z17" s="220" t="s">
        <v>215</v>
      </c>
      <c r="AA17" s="222"/>
      <c r="AB17" s="222"/>
      <c r="AC17" s="7" t="s">
        <v>16</v>
      </c>
      <c r="AD17" s="345">
        <f t="shared" si="0"/>
        <v>14</v>
      </c>
      <c r="AE17" s="8"/>
      <c r="AF17" s="7">
        <v>14</v>
      </c>
      <c r="AG17" s="56"/>
      <c r="AH17" s="56"/>
      <c r="AI17" s="9">
        <v>1109.03</v>
      </c>
      <c r="AJ17" s="85">
        <v>1109.03</v>
      </c>
      <c r="AK17" s="9">
        <f t="shared" si="1"/>
        <v>79.216428571428565</v>
      </c>
      <c r="AL17" s="81">
        <f>3/AD17</f>
        <v>0.21428571428571427</v>
      </c>
      <c r="AM17" s="81">
        <f>3/AD17</f>
        <v>0.21428571428571427</v>
      </c>
      <c r="AN17" s="81">
        <f>6/AD17</f>
        <v>0.42857142857142855</v>
      </c>
      <c r="AO17" s="81">
        <f>1/AD17</f>
        <v>7.1428571428571425E-2</v>
      </c>
      <c r="AP17" s="81">
        <f>1/AD17</f>
        <v>7.1428571428571425E-2</v>
      </c>
      <c r="AQ17" s="9">
        <v>1000</v>
      </c>
      <c r="AR17" s="111"/>
      <c r="AS17" s="81">
        <f t="shared" si="58"/>
        <v>0</v>
      </c>
      <c r="AT17" s="9">
        <v>3</v>
      </c>
      <c r="AU17" s="59" t="s">
        <v>621</v>
      </c>
      <c r="AV17" s="9"/>
      <c r="AW17" s="196"/>
      <c r="AX17" s="196">
        <v>40963</v>
      </c>
      <c r="AY17" s="467" t="s">
        <v>11</v>
      </c>
      <c r="AZ17" s="467" t="s">
        <v>238</v>
      </c>
      <c r="BA17" s="1"/>
      <c r="BB17" s="216">
        <v>41170</v>
      </c>
      <c r="BC17" s="102"/>
      <c r="BD17" s="102"/>
      <c r="BE17" s="216">
        <v>41248</v>
      </c>
      <c r="BF17" s="102"/>
      <c r="BG17" s="472"/>
      <c r="BH17" s="213"/>
      <c r="BI17" s="105"/>
      <c r="BJ17" s="105"/>
      <c r="BK17" s="321"/>
      <c r="BL17" s="322">
        <f t="shared" si="2"/>
        <v>731</v>
      </c>
      <c r="BM17" s="322">
        <f t="shared" si="3"/>
        <v>1096</v>
      </c>
      <c r="BN17" s="322" t="str">
        <f>IF(CW17&lt;$BL$11,"oui","non")</f>
        <v>oui</v>
      </c>
      <c r="BO17" s="105"/>
      <c r="BP17" s="472"/>
      <c r="BQ17" s="105"/>
      <c r="BR17" s="117"/>
      <c r="BS17" s="117"/>
      <c r="BT17" s="117"/>
      <c r="BU17" s="167" t="s">
        <v>72</v>
      </c>
      <c r="BV17" s="333">
        <v>41255</v>
      </c>
      <c r="BW17" s="268"/>
      <c r="BX17" s="168">
        <v>2312263.67</v>
      </c>
      <c r="BY17" s="174">
        <f t="shared" si="50"/>
        <v>41802</v>
      </c>
      <c r="BZ17" s="268"/>
      <c r="CA17" s="373">
        <v>41467</v>
      </c>
      <c r="CB17" s="268">
        <v>41897</v>
      </c>
      <c r="CC17" s="681">
        <f t="shared" si="59"/>
        <v>1.6666666666666667</v>
      </c>
      <c r="CD17" s="511"/>
      <c r="CE17" s="382">
        <v>41309</v>
      </c>
      <c r="CF17" s="374">
        <v>2013</v>
      </c>
      <c r="CG17" s="495">
        <f t="shared" si="4"/>
        <v>4.6333333333333337</v>
      </c>
      <c r="CH17" s="122">
        <v>13</v>
      </c>
      <c r="CI17" s="122">
        <f t="shared" si="5"/>
        <v>14</v>
      </c>
      <c r="CJ17" s="122">
        <f t="shared" si="6"/>
        <v>20</v>
      </c>
      <c r="CK17" s="122">
        <f t="shared" si="7"/>
        <v>21</v>
      </c>
      <c r="CL17" s="122">
        <f t="shared" si="8"/>
        <v>7</v>
      </c>
      <c r="CM17" s="122">
        <f t="shared" si="9"/>
        <v>7</v>
      </c>
      <c r="CN17" s="246">
        <f>69329.9630502528/12</f>
        <v>5777.4969208543998</v>
      </c>
      <c r="CO17" s="246">
        <f t="shared" si="10"/>
        <v>40442.4784459808</v>
      </c>
      <c r="CP17" s="121" t="s">
        <v>133</v>
      </c>
      <c r="CQ17" s="514">
        <f t="shared" si="11"/>
        <v>41702</v>
      </c>
      <c r="CR17" s="382">
        <v>41943</v>
      </c>
      <c r="CS17" s="386"/>
      <c r="CT17" s="121">
        <v>41983</v>
      </c>
      <c r="CU17" s="121"/>
      <c r="CV17" s="673">
        <v>41949</v>
      </c>
      <c r="CW17" s="382">
        <v>41947</v>
      </c>
      <c r="CX17" s="674">
        <v>2014</v>
      </c>
      <c r="CY17" s="121"/>
      <c r="CZ17" s="128"/>
      <c r="DA17" s="128"/>
      <c r="DB17" s="128"/>
      <c r="DC17" s="128"/>
      <c r="DD17" s="128" t="s">
        <v>133</v>
      </c>
      <c r="DE17" s="120"/>
      <c r="DF17" s="128" t="s">
        <v>180</v>
      </c>
      <c r="DG17" s="206">
        <v>41969</v>
      </c>
      <c r="DH17" s="206">
        <v>41984</v>
      </c>
      <c r="DI17" s="206">
        <v>42324</v>
      </c>
      <c r="DJ17" s="206">
        <v>42324</v>
      </c>
      <c r="DK17" s="128" t="s">
        <v>177</v>
      </c>
      <c r="DL17" s="128">
        <v>42426</v>
      </c>
      <c r="DM17" s="206">
        <v>42906</v>
      </c>
      <c r="DN17" s="206"/>
      <c r="DO17" s="206" t="s">
        <v>133</v>
      </c>
      <c r="DP17" s="127"/>
      <c r="DQ17" s="206">
        <v>42426</v>
      </c>
      <c r="DR17" s="206"/>
      <c r="DS17" s="128"/>
      <c r="DT17" s="120"/>
      <c r="DU17" s="120"/>
      <c r="DV17" s="589" t="str">
        <f t="shared" si="13"/>
        <v>0</v>
      </c>
      <c r="DW17" s="128"/>
      <c r="DX17" s="128"/>
      <c r="DY17" s="589" t="str">
        <f t="shared" si="14"/>
        <v>0</v>
      </c>
      <c r="DZ17" s="135"/>
      <c r="EA17" s="128"/>
      <c r="EB17" s="589" t="str">
        <f t="shared" si="15"/>
        <v>0</v>
      </c>
      <c r="EC17" s="135"/>
      <c r="ED17" s="128"/>
      <c r="EE17" s="589" t="str">
        <f t="shared" si="16"/>
        <v>0</v>
      </c>
      <c r="EF17" s="135"/>
      <c r="EG17" s="646"/>
      <c r="EH17" s="589" t="str">
        <f t="shared" si="17"/>
        <v>0</v>
      </c>
      <c r="EI17" s="245"/>
      <c r="EJ17" s="600"/>
      <c r="EK17" s="595"/>
      <c r="EL17" s="596" t="str">
        <f t="shared" si="18"/>
        <v>0</v>
      </c>
      <c r="EM17" s="600"/>
      <c r="EN17" s="595"/>
      <c r="EO17" s="596" t="str">
        <f t="shared" si="19"/>
        <v>0</v>
      </c>
      <c r="EP17" s="600"/>
      <c r="EQ17" s="595"/>
      <c r="ER17" s="596" t="str">
        <f t="shared" si="20"/>
        <v>0</v>
      </c>
      <c r="ES17" s="603"/>
      <c r="ET17" s="622"/>
      <c r="EU17" s="597" t="str">
        <f t="shared" si="21"/>
        <v>0</v>
      </c>
      <c r="EV17" s="598"/>
      <c r="EW17" s="599"/>
      <c r="EX17" s="596" t="str">
        <f t="shared" si="22"/>
        <v>0</v>
      </c>
      <c r="EY17" s="595"/>
      <c r="EZ17" s="600"/>
      <c r="FA17" s="596" t="str">
        <f t="shared" si="23"/>
        <v>0</v>
      </c>
      <c r="FB17" s="604"/>
      <c r="FC17" s="604"/>
      <c r="FD17" s="596" t="str">
        <f t="shared" si="24"/>
        <v>0</v>
      </c>
      <c r="FE17" s="604"/>
      <c r="FF17" s="602"/>
      <c r="FG17" s="596" t="str">
        <f t="shared" si="25"/>
        <v>0</v>
      </c>
      <c r="FH17" s="602"/>
      <c r="FI17" s="602"/>
      <c r="FJ17" s="596" t="str">
        <f t="shared" si="26"/>
        <v>0</v>
      </c>
      <c r="FK17" s="602"/>
      <c r="FL17" s="602"/>
      <c r="FM17" s="602"/>
      <c r="FN17" s="602"/>
      <c r="FO17" s="600"/>
      <c r="FP17" s="598">
        <f t="shared" si="27"/>
        <v>0</v>
      </c>
      <c r="FQ17" s="602"/>
      <c r="FR17" s="600">
        <f t="shared" si="60"/>
        <v>41947</v>
      </c>
      <c r="FS17" s="623"/>
      <c r="FT17" s="623"/>
      <c r="FU17" s="627"/>
      <c r="FV17" s="627"/>
      <c r="FW17" s="628">
        <f t="shared" si="28"/>
        <v>0</v>
      </c>
      <c r="FX17" s="628">
        <f t="shared" si="29"/>
        <v>1398.2333333333333</v>
      </c>
      <c r="FY17" s="624"/>
      <c r="FZ17" s="641" t="s">
        <v>843</v>
      </c>
      <c r="GA17" s="624"/>
      <c r="GB17" s="624"/>
      <c r="GC17" s="166"/>
      <c r="GD17" s="655"/>
      <c r="GE17" s="10">
        <v>2368881</v>
      </c>
      <c r="GF17" s="477">
        <f>GP17+GT17+HA17+HT17+GY17+HE17+HB17</f>
        <v>2368881</v>
      </c>
      <c r="GG17" s="12">
        <f t="shared" si="30"/>
        <v>0</v>
      </c>
      <c r="GH17" s="12">
        <f t="shared" si="31"/>
        <v>2135.9936160428483</v>
      </c>
      <c r="GI17" s="12">
        <f t="shared" si="32"/>
        <v>169205.78571428571</v>
      </c>
      <c r="GJ17" s="10"/>
      <c r="GK17" s="11">
        <v>2068826</v>
      </c>
      <c r="GL17" s="12">
        <f t="shared" si="33"/>
        <v>2068826</v>
      </c>
      <c r="GM17" s="137">
        <f t="shared" si="34"/>
        <v>0</v>
      </c>
      <c r="GN17" s="138"/>
      <c r="GO17" s="10">
        <v>745095</v>
      </c>
      <c r="GP17" s="11">
        <v>745095</v>
      </c>
      <c r="GQ17" s="23">
        <f t="shared" si="35"/>
        <v>53221.071428571428</v>
      </c>
      <c r="GR17" s="38">
        <f t="shared" si="36"/>
        <v>0</v>
      </c>
      <c r="GS17" s="10">
        <v>1240121</v>
      </c>
      <c r="GT17" s="11">
        <f t="shared" si="37"/>
        <v>1240121</v>
      </c>
      <c r="GU17" s="13">
        <v>347814</v>
      </c>
      <c r="GV17" s="13">
        <v>892307</v>
      </c>
      <c r="GW17" s="38">
        <f t="shared" si="38"/>
        <v>0</v>
      </c>
      <c r="GX17" s="23">
        <f t="shared" si="39"/>
        <v>88580.071428571435</v>
      </c>
      <c r="GY17" s="11">
        <v>100000</v>
      </c>
      <c r="GZ17" s="10">
        <f>89905+70000</f>
        <v>159905</v>
      </c>
      <c r="HA17" s="15">
        <v>89905</v>
      </c>
      <c r="HB17" s="69">
        <v>70000</v>
      </c>
      <c r="HC17" s="41">
        <f t="shared" si="40"/>
        <v>3.7952518509794288E-2</v>
      </c>
      <c r="HD17" s="329"/>
      <c r="HE17" s="15">
        <v>0</v>
      </c>
      <c r="HF17" s="24">
        <f>HA17-GZ17+HB17</f>
        <v>0</v>
      </c>
      <c r="HG17" s="23">
        <f t="shared" si="41"/>
        <v>6421.7857142857147</v>
      </c>
      <c r="HH17" s="52"/>
      <c r="HI17" s="24">
        <f t="shared" si="42"/>
        <v>0</v>
      </c>
      <c r="HJ17" s="51"/>
      <c r="HK17" s="51"/>
      <c r="HL17" s="40">
        <v>339632.49384750001</v>
      </c>
      <c r="HM17" s="40">
        <v>210000</v>
      </c>
      <c r="HN17" s="23">
        <f t="shared" si="43"/>
        <v>74642.857142857145</v>
      </c>
      <c r="HO17" s="40">
        <v>0</v>
      </c>
      <c r="HP17" s="23">
        <f t="shared" si="44"/>
        <v>74642.857142857145</v>
      </c>
      <c r="HQ17" s="53">
        <f t="shared" si="45"/>
        <v>0.40351792401683728</v>
      </c>
      <c r="HR17" s="40">
        <v>118789.62334999999</v>
      </c>
      <c r="HS17" s="40"/>
      <c r="HT17" s="483">
        <v>123760</v>
      </c>
      <c r="HU17" s="42">
        <f t="shared" si="46"/>
        <v>2708513.4938475001</v>
      </c>
      <c r="HV17" s="245"/>
      <c r="HW17" s="245">
        <f t="shared" si="47"/>
        <v>0</v>
      </c>
      <c r="HX17" s="119"/>
      <c r="HY17" s="245"/>
      <c r="HZ17" s="245"/>
      <c r="IA17" s="119"/>
      <c r="IB17" s="119"/>
      <c r="IC17" s="245"/>
      <c r="ID17" s="119"/>
      <c r="IE17" s="245"/>
      <c r="IF17" s="119"/>
      <c r="IG17" s="245"/>
      <c r="IH17" s="120"/>
      <c r="II17" s="350"/>
      <c r="IJ17" s="341"/>
      <c r="IK17" s="341"/>
      <c r="IL17" s="128"/>
      <c r="IM17" s="245"/>
      <c r="IN17" s="128"/>
      <c r="IO17" s="245"/>
      <c r="IP17" s="351"/>
      <c r="IQ17" s="351"/>
      <c r="IR17" s="351"/>
      <c r="IS17" s="351"/>
      <c r="IT17" s="289"/>
      <c r="IU17" s="289"/>
      <c r="IV17" s="289"/>
      <c r="IW17" s="289"/>
      <c r="IX17" s="289"/>
      <c r="IY17" s="289"/>
      <c r="IZ17" s="245"/>
      <c r="JA17" s="128"/>
      <c r="JB17" s="120"/>
      <c r="JC17" s="128"/>
      <c r="JD17" s="128"/>
      <c r="JE17" s="120"/>
    </row>
    <row r="18" spans="1:265" ht="24.95" customHeight="1">
      <c r="A18" s="25" t="s">
        <v>80</v>
      </c>
      <c r="B18" s="7" t="s">
        <v>34</v>
      </c>
      <c r="C18" s="7" t="s">
        <v>118</v>
      </c>
      <c r="D18" s="7">
        <v>2012</v>
      </c>
      <c r="E18" s="7" t="s">
        <v>91</v>
      </c>
      <c r="F18" s="7" t="s">
        <v>58</v>
      </c>
      <c r="G18" s="7" t="s">
        <v>519</v>
      </c>
      <c r="H18" s="7" t="s">
        <v>265</v>
      </c>
      <c r="I18" s="56"/>
      <c r="J18" s="56" t="s">
        <v>413</v>
      </c>
      <c r="K18" s="275" t="s">
        <v>550</v>
      </c>
      <c r="L18" s="165"/>
      <c r="M18" s="165"/>
      <c r="N18" s="165"/>
      <c r="O18" s="219">
        <v>7382</v>
      </c>
      <c r="P18" s="219">
        <v>243429</v>
      </c>
      <c r="Q18" s="219">
        <v>239545</v>
      </c>
      <c r="R18" s="219">
        <f t="shared" si="51"/>
        <v>10142.875</v>
      </c>
      <c r="S18" s="219">
        <f t="shared" si="52"/>
        <v>32.976022758060147</v>
      </c>
      <c r="T18" s="219">
        <f t="shared" si="53"/>
        <v>32.449878081820643</v>
      </c>
      <c r="U18" s="219">
        <f t="shared" si="54"/>
        <v>118.47636852830038</v>
      </c>
      <c r="V18" s="219">
        <f t="shared" si="55"/>
        <v>9981.0416666666661</v>
      </c>
      <c r="W18" s="219">
        <f t="shared" si="56"/>
        <v>307.58333333333331</v>
      </c>
      <c r="X18" s="220"/>
      <c r="Y18" s="221">
        <f t="shared" si="57"/>
        <v>0.27389325386074237</v>
      </c>
      <c r="Z18" s="220" t="s">
        <v>202</v>
      </c>
      <c r="AA18" s="222">
        <v>750</v>
      </c>
      <c r="AB18" s="223">
        <v>0.3</v>
      </c>
      <c r="AC18" s="7" t="s">
        <v>16</v>
      </c>
      <c r="AD18" s="345">
        <f t="shared" si="0"/>
        <v>24</v>
      </c>
      <c r="AE18" s="8"/>
      <c r="AF18" s="7">
        <v>24</v>
      </c>
      <c r="AG18" s="56"/>
      <c r="AH18" s="56"/>
      <c r="AI18" s="9">
        <v>2021.88</v>
      </c>
      <c r="AJ18" s="85">
        <v>2021.88</v>
      </c>
      <c r="AK18" s="9">
        <f t="shared" si="1"/>
        <v>84.245000000000005</v>
      </c>
      <c r="AL18" s="62"/>
      <c r="AM18" s="62"/>
      <c r="AN18" s="62"/>
      <c r="AO18" s="62"/>
      <c r="AP18" s="62"/>
      <c r="AQ18" s="9">
        <v>1700</v>
      </c>
      <c r="AR18" s="79">
        <v>486</v>
      </c>
      <c r="AS18" s="81">
        <f t="shared" si="58"/>
        <v>6.5835816851801676E-2</v>
      </c>
      <c r="AT18" s="60">
        <v>1.5</v>
      </c>
      <c r="AU18" s="59" t="s">
        <v>621</v>
      </c>
      <c r="AV18" s="9"/>
      <c r="AW18" s="56"/>
      <c r="AX18" s="196">
        <v>40963</v>
      </c>
      <c r="AY18" s="467" t="s">
        <v>11</v>
      </c>
      <c r="AZ18" s="467" t="s">
        <v>236</v>
      </c>
      <c r="BA18" s="1"/>
      <c r="BB18" s="216">
        <v>41170</v>
      </c>
      <c r="BC18" s="102"/>
      <c r="BD18" s="102"/>
      <c r="BE18" s="216">
        <v>41232</v>
      </c>
      <c r="BF18" s="102"/>
      <c r="BG18" s="472"/>
      <c r="BH18" s="213"/>
      <c r="BI18" s="105"/>
      <c r="BJ18" s="105"/>
      <c r="BK18" s="322">
        <v>41319</v>
      </c>
      <c r="BL18" s="322">
        <f t="shared" si="2"/>
        <v>42049</v>
      </c>
      <c r="BM18" s="322">
        <f t="shared" si="3"/>
        <v>42414</v>
      </c>
      <c r="BN18" s="322" t="str">
        <f>IF(CW18&gt;BL18,"oui","non")</f>
        <v>oui</v>
      </c>
      <c r="BO18" s="105"/>
      <c r="BP18" s="472"/>
      <c r="BQ18" s="105"/>
      <c r="BR18" s="117"/>
      <c r="BS18" s="117"/>
      <c r="BT18" s="117"/>
      <c r="BU18" s="167" t="s">
        <v>72</v>
      </c>
      <c r="BV18" s="333">
        <v>41256</v>
      </c>
      <c r="BW18" s="268"/>
      <c r="BX18" s="168">
        <f>3849124.53/1.021</f>
        <v>3769955.4652301664</v>
      </c>
      <c r="BY18" s="174">
        <f t="shared" si="50"/>
        <v>41803</v>
      </c>
      <c r="BZ18" s="268">
        <f>DATE(YEAR(BV18),MONTH(BV18)+24,DAY(BV18))</f>
        <v>41986</v>
      </c>
      <c r="CA18" s="373">
        <v>41850</v>
      </c>
      <c r="CB18" s="268">
        <v>42109</v>
      </c>
      <c r="CC18" s="681">
        <f t="shared" si="59"/>
        <v>17.266666666666666</v>
      </c>
      <c r="CD18" s="511"/>
      <c r="CE18" s="380">
        <v>41572</v>
      </c>
      <c r="CF18" s="374">
        <v>2013</v>
      </c>
      <c r="CG18" s="495">
        <f t="shared" si="4"/>
        <v>13.4</v>
      </c>
      <c r="CH18" s="122">
        <v>17</v>
      </c>
      <c r="CI18" s="122">
        <f t="shared" si="5"/>
        <v>18</v>
      </c>
      <c r="CJ18" s="122">
        <f t="shared" si="6"/>
        <v>34</v>
      </c>
      <c r="CK18" s="122">
        <f t="shared" si="7"/>
        <v>34</v>
      </c>
      <c r="CL18" s="122">
        <f t="shared" si="8"/>
        <v>17</v>
      </c>
      <c r="CM18" s="122">
        <f t="shared" si="9"/>
        <v>16</v>
      </c>
      <c r="CN18" s="259">
        <f>100906.540336335/12</f>
        <v>8408.8783613612504</v>
      </c>
      <c r="CO18" s="259">
        <f t="shared" si="10"/>
        <v>142950.93214314125</v>
      </c>
      <c r="CP18" s="250">
        <v>42342</v>
      </c>
      <c r="CQ18" s="652">
        <f t="shared" si="11"/>
        <v>42088</v>
      </c>
      <c r="CR18" s="380">
        <v>42619</v>
      </c>
      <c r="CS18" s="652">
        <f>DATE(YEAR(CA18)+2,MONTH(CA18),DAY(CA18))</f>
        <v>42581</v>
      </c>
      <c r="CT18" s="250">
        <v>42633</v>
      </c>
      <c r="CU18" s="250" t="s">
        <v>518</v>
      </c>
      <c r="CV18" s="652" t="s">
        <v>133</v>
      </c>
      <c r="CW18" s="390">
        <v>42627</v>
      </c>
      <c r="CX18" s="515">
        <v>2016</v>
      </c>
      <c r="CY18" s="250" t="s">
        <v>133</v>
      </c>
      <c r="CZ18" s="212">
        <v>42702</v>
      </c>
      <c r="DA18" s="212"/>
      <c r="DB18" s="299" t="s">
        <v>332</v>
      </c>
      <c r="DC18" s="299" t="s">
        <v>571</v>
      </c>
      <c r="DD18" s="212">
        <v>42766</v>
      </c>
      <c r="DE18" s="212">
        <v>42979</v>
      </c>
      <c r="DF18" s="299">
        <v>43034</v>
      </c>
      <c r="DG18" s="212">
        <v>42716</v>
      </c>
      <c r="DH18" s="212">
        <v>42755</v>
      </c>
      <c r="DI18" s="128"/>
      <c r="DJ18" s="128"/>
      <c r="DK18" s="127"/>
      <c r="DL18" s="249">
        <v>42829</v>
      </c>
      <c r="DM18" s="129" t="s">
        <v>889</v>
      </c>
      <c r="DN18" s="684"/>
      <c r="DO18" s="249">
        <v>42808</v>
      </c>
      <c r="DP18" s="195"/>
      <c r="DQ18" s="127"/>
      <c r="DR18" s="127"/>
      <c r="DS18" s="128"/>
      <c r="DT18" s="128"/>
      <c r="DU18" s="128"/>
      <c r="DV18" s="589" t="str">
        <f t="shared" si="13"/>
        <v>0</v>
      </c>
      <c r="DW18" s="128"/>
      <c r="DX18" s="128"/>
      <c r="DY18" s="589" t="str">
        <f t="shared" si="14"/>
        <v>0</v>
      </c>
      <c r="DZ18" s="128"/>
      <c r="EA18" s="128"/>
      <c r="EB18" s="589" t="str">
        <f t="shared" si="15"/>
        <v>0</v>
      </c>
      <c r="EC18" s="128"/>
      <c r="ED18" s="128"/>
      <c r="EE18" s="589" t="str">
        <f t="shared" si="16"/>
        <v>0</v>
      </c>
      <c r="EF18" s="135"/>
      <c r="EG18" s="646"/>
      <c r="EH18" s="589" t="str">
        <f t="shared" si="17"/>
        <v>0</v>
      </c>
      <c r="EI18" s="245"/>
      <c r="EJ18" s="600"/>
      <c r="EK18" s="595"/>
      <c r="EL18" s="596" t="str">
        <f t="shared" si="18"/>
        <v>0</v>
      </c>
      <c r="EM18" s="600"/>
      <c r="EN18" s="595"/>
      <c r="EO18" s="596" t="str">
        <f t="shared" si="19"/>
        <v>0</v>
      </c>
      <c r="EP18" s="600"/>
      <c r="EQ18" s="595"/>
      <c r="ER18" s="596" t="str">
        <f t="shared" si="20"/>
        <v>0</v>
      </c>
      <c r="ES18" s="603"/>
      <c r="ET18" s="622"/>
      <c r="EU18" s="597" t="str">
        <f t="shared" si="21"/>
        <v>0</v>
      </c>
      <c r="EV18" s="598"/>
      <c r="EW18" s="599">
        <f ca="1">IF(EV18&lt;TODAY(),TODAY(),EV18)</f>
        <v>43163</v>
      </c>
      <c r="EX18" s="596" t="str">
        <f t="shared" ca="1" si="22"/>
        <v>0</v>
      </c>
      <c r="EY18" s="595"/>
      <c r="EZ18" s="600"/>
      <c r="FA18" s="596" t="str">
        <f t="shared" si="23"/>
        <v>0</v>
      </c>
      <c r="FB18" s="602"/>
      <c r="FC18" s="602"/>
      <c r="FD18" s="596" t="str">
        <f t="shared" si="24"/>
        <v>0</v>
      </c>
      <c r="FE18" s="602"/>
      <c r="FF18" s="602"/>
      <c r="FG18" s="596" t="str">
        <f t="shared" si="25"/>
        <v>0</v>
      </c>
      <c r="FH18" s="600"/>
      <c r="FI18" s="600"/>
      <c r="FJ18" s="596" t="str">
        <f t="shared" si="26"/>
        <v>0</v>
      </c>
      <c r="FK18" s="602"/>
      <c r="FL18" s="602"/>
      <c r="FM18" s="602"/>
      <c r="FN18" s="602"/>
      <c r="FO18" s="600"/>
      <c r="FP18" s="598">
        <f t="shared" si="27"/>
        <v>0</v>
      </c>
      <c r="FQ18" s="602"/>
      <c r="FR18" s="600">
        <f t="shared" si="60"/>
        <v>42627</v>
      </c>
      <c r="FS18" s="623"/>
      <c r="FT18" s="623"/>
      <c r="FU18" s="627"/>
      <c r="FV18" s="627"/>
      <c r="FW18" s="628">
        <f t="shared" si="28"/>
        <v>0</v>
      </c>
      <c r="FX18" s="628">
        <f t="shared" si="29"/>
        <v>1420.9</v>
      </c>
      <c r="FY18" s="624"/>
      <c r="FZ18" s="641" t="s">
        <v>855</v>
      </c>
      <c r="GA18" s="624"/>
      <c r="GB18" s="624"/>
      <c r="GC18" s="166"/>
      <c r="GD18" s="727">
        <v>3907101</v>
      </c>
      <c r="GE18" s="10">
        <v>4128660.85</v>
      </c>
      <c r="GF18" s="477">
        <f>GP18+GT18+HA18+HT18+GY18+HE18</f>
        <v>4102565</v>
      </c>
      <c r="GG18" s="12">
        <f t="shared" si="30"/>
        <v>-26095.850000000093</v>
      </c>
      <c r="GH18" s="12">
        <f t="shared" si="31"/>
        <v>2029.0843175658297</v>
      </c>
      <c r="GI18" s="12">
        <f t="shared" si="32"/>
        <v>170940.20833333334</v>
      </c>
      <c r="GJ18" s="10">
        <v>3645377</v>
      </c>
      <c r="GK18" s="11"/>
      <c r="GL18" s="12">
        <f t="shared" si="33"/>
        <v>-3645377</v>
      </c>
      <c r="GM18" s="137">
        <f t="shared" si="34"/>
        <v>0.90148599079045189</v>
      </c>
      <c r="GN18" s="138"/>
      <c r="GO18" s="10">
        <v>1196851</v>
      </c>
      <c r="GP18" s="11">
        <v>1196851</v>
      </c>
      <c r="GQ18" s="23">
        <f t="shared" si="35"/>
        <v>49868.791666666664</v>
      </c>
      <c r="GR18" s="38">
        <f t="shared" si="36"/>
        <v>0</v>
      </c>
      <c r="GS18" s="10">
        <v>2362522</v>
      </c>
      <c r="GT18" s="11">
        <f t="shared" si="37"/>
        <v>2362522</v>
      </c>
      <c r="GU18" s="13">
        <v>585357</v>
      </c>
      <c r="GV18" s="13">
        <v>1777165</v>
      </c>
      <c r="GW18" s="38">
        <f t="shared" si="38"/>
        <v>0</v>
      </c>
      <c r="GX18" s="23">
        <f t="shared" si="39"/>
        <v>98438.416666666672</v>
      </c>
      <c r="GY18" s="11">
        <v>0</v>
      </c>
      <c r="GZ18" s="10">
        <f>264000+120000</f>
        <v>384000</v>
      </c>
      <c r="HA18" s="15">
        <v>384000</v>
      </c>
      <c r="HB18" s="69"/>
      <c r="HC18" s="41">
        <f t="shared" si="40"/>
        <v>9.3599979525004484E-2</v>
      </c>
      <c r="HD18" s="329"/>
      <c r="HE18" s="15">
        <v>0</v>
      </c>
      <c r="HF18" s="24">
        <f>HA18-GZ18</f>
        <v>0</v>
      </c>
      <c r="HG18" s="23">
        <f t="shared" si="41"/>
        <v>16000</v>
      </c>
      <c r="HH18" s="52"/>
      <c r="HI18" s="24">
        <f t="shared" si="42"/>
        <v>0</v>
      </c>
      <c r="HJ18" s="51"/>
      <c r="HK18" s="51"/>
      <c r="HL18" s="40">
        <v>913316.69861249998</v>
      </c>
      <c r="HM18" s="40">
        <v>480000</v>
      </c>
      <c r="HN18" s="23">
        <f t="shared" si="43"/>
        <v>85868.791666666672</v>
      </c>
      <c r="HO18" s="40">
        <v>148968.80577250005</v>
      </c>
      <c r="HP18" s="23">
        <f t="shared" si="44"/>
        <v>92075.825240520833</v>
      </c>
      <c r="HQ18" s="53">
        <f t="shared" si="45"/>
        <v>0.46341443471424698</v>
      </c>
      <c r="HR18" s="40">
        <v>247321.11820000003</v>
      </c>
      <c r="HS18" s="482"/>
      <c r="HT18" s="483">
        <v>159192</v>
      </c>
      <c r="HU18" s="42">
        <f t="shared" si="46"/>
        <v>5015881.6986125</v>
      </c>
      <c r="HV18" s="245"/>
      <c r="HW18" s="245">
        <f t="shared" si="47"/>
        <v>0</v>
      </c>
      <c r="HX18" s="119"/>
      <c r="HY18" s="245"/>
      <c r="HZ18" s="245"/>
      <c r="IA18" s="119"/>
      <c r="IB18" s="119"/>
      <c r="IC18" s="245"/>
      <c r="ID18" s="119"/>
      <c r="IE18" s="245"/>
      <c r="IF18" s="119"/>
      <c r="IG18" s="245"/>
      <c r="IH18" s="120"/>
      <c r="II18" s="350"/>
      <c r="IJ18" s="341"/>
      <c r="IK18" s="341"/>
      <c r="IL18" s="128"/>
      <c r="IM18" s="245"/>
      <c r="IN18" s="128"/>
      <c r="IO18" s="245"/>
      <c r="IP18" s="120"/>
      <c r="IQ18" s="120"/>
      <c r="IR18" s="120"/>
      <c r="IS18" s="120"/>
      <c r="IT18" s="289"/>
      <c r="IU18" s="289"/>
      <c r="IV18" s="289"/>
      <c r="IW18" s="289"/>
      <c r="IX18" s="289"/>
      <c r="IY18" s="289"/>
      <c r="IZ18" s="245"/>
      <c r="JA18" s="128"/>
      <c r="JB18" s="120"/>
      <c r="JC18" s="128"/>
      <c r="JD18" s="128"/>
      <c r="JE18" s="120"/>
    </row>
    <row r="19" spans="1:265" ht="72" customHeight="1">
      <c r="A19" s="86" t="s">
        <v>426</v>
      </c>
      <c r="B19" s="7" t="s">
        <v>35</v>
      </c>
      <c r="C19" s="7" t="s">
        <v>117</v>
      </c>
      <c r="D19" s="7">
        <v>2012</v>
      </c>
      <c r="E19" s="7" t="s">
        <v>90</v>
      </c>
      <c r="F19" s="7" t="s">
        <v>424</v>
      </c>
      <c r="G19" s="7" t="s">
        <v>519</v>
      </c>
      <c r="H19" s="56" t="s">
        <v>265</v>
      </c>
      <c r="I19" s="56"/>
      <c r="J19" s="56"/>
      <c r="K19" s="275"/>
      <c r="L19" s="165"/>
      <c r="M19" s="165"/>
      <c r="N19" s="165"/>
      <c r="O19" s="219">
        <v>2666</v>
      </c>
      <c r="P19" s="219">
        <v>209000</v>
      </c>
      <c r="Q19" s="219">
        <v>154394</v>
      </c>
      <c r="R19" s="219">
        <f t="shared" si="51"/>
        <v>12294.117647058823</v>
      </c>
      <c r="S19" s="219">
        <f t="shared" si="52"/>
        <v>78.394598649662413</v>
      </c>
      <c r="T19" s="219">
        <f t="shared" si="53"/>
        <v>57.912228057014254</v>
      </c>
      <c r="U19" s="219">
        <f t="shared" si="54"/>
        <v>124.49121109498468</v>
      </c>
      <c r="V19" s="219">
        <f t="shared" si="55"/>
        <v>9082</v>
      </c>
      <c r="W19" s="219">
        <f t="shared" si="56"/>
        <v>156.8235294117647</v>
      </c>
      <c r="X19" s="219"/>
      <c r="Y19" s="221">
        <f t="shared" si="57"/>
        <v>0.46519129782445612</v>
      </c>
      <c r="Z19" s="220" t="s">
        <v>197</v>
      </c>
      <c r="AA19" s="222"/>
      <c r="AB19" s="223"/>
      <c r="AC19" s="7" t="s">
        <v>16</v>
      </c>
      <c r="AD19" s="345">
        <f t="shared" si="0"/>
        <v>17</v>
      </c>
      <c r="AE19" s="8"/>
      <c r="AF19" s="7">
        <v>17</v>
      </c>
      <c r="AG19" s="56"/>
      <c r="AH19" s="56"/>
      <c r="AI19" s="9">
        <v>1240.2</v>
      </c>
      <c r="AJ19" s="85">
        <v>1240.2</v>
      </c>
      <c r="AK19" s="9">
        <f t="shared" si="1"/>
        <v>72.952941176470588</v>
      </c>
      <c r="AL19" s="60"/>
      <c r="AM19" s="60"/>
      <c r="AN19" s="60"/>
      <c r="AO19" s="60"/>
      <c r="AP19" s="60"/>
      <c r="AQ19" s="9">
        <v>760</v>
      </c>
      <c r="AR19" s="79">
        <f>30*10</f>
        <v>300</v>
      </c>
      <c r="AS19" s="81">
        <f t="shared" si="58"/>
        <v>0.11252813203300825</v>
      </c>
      <c r="AT19" s="60">
        <v>3</v>
      </c>
      <c r="AU19" s="59" t="s">
        <v>621</v>
      </c>
      <c r="AV19" s="9" t="s">
        <v>126</v>
      </c>
      <c r="AW19" s="312"/>
      <c r="AX19" s="252">
        <v>40963</v>
      </c>
      <c r="AY19" s="467" t="s">
        <v>11</v>
      </c>
      <c r="AZ19" s="467" t="s">
        <v>235</v>
      </c>
      <c r="BA19" s="1"/>
      <c r="BB19" s="216">
        <v>41170</v>
      </c>
      <c r="BC19" s="102"/>
      <c r="BD19" s="102"/>
      <c r="BE19" s="216">
        <v>41225</v>
      </c>
      <c r="BF19" s="102"/>
      <c r="BG19" s="472"/>
      <c r="BH19" s="213"/>
      <c r="BI19" s="105"/>
      <c r="BJ19" s="105"/>
      <c r="BK19" s="322">
        <v>41319</v>
      </c>
      <c r="BL19" s="322">
        <f t="shared" si="2"/>
        <v>42049</v>
      </c>
      <c r="BM19" s="322">
        <f t="shared" si="3"/>
        <v>42414</v>
      </c>
      <c r="BN19" s="322" t="str">
        <f>IF(CW19&gt;BL19,"oui","non")</f>
        <v>oui</v>
      </c>
      <c r="BO19" s="105"/>
      <c r="BP19" s="472"/>
      <c r="BQ19" s="105"/>
      <c r="BR19" s="117"/>
      <c r="BS19" s="117"/>
      <c r="BT19" s="117"/>
      <c r="BU19" s="167" t="s">
        <v>149</v>
      </c>
      <c r="BV19" s="333">
        <v>41255</v>
      </c>
      <c r="BW19" s="268"/>
      <c r="BX19" s="168">
        <f>2504271.14/1.021</f>
        <v>2452763.1145935361</v>
      </c>
      <c r="BY19" s="174">
        <f t="shared" si="50"/>
        <v>41802</v>
      </c>
      <c r="BZ19" s="268">
        <f>DATE(YEAR(BV19),MONTH(BV19)+24,DAY(BV19))</f>
        <v>41985</v>
      </c>
      <c r="CA19" s="373">
        <v>41744</v>
      </c>
      <c r="CB19" s="268">
        <v>42047</v>
      </c>
      <c r="CC19" s="681">
        <f t="shared" si="59"/>
        <v>22.633333333333333</v>
      </c>
      <c r="CD19" s="511"/>
      <c r="CE19" s="383">
        <v>41309</v>
      </c>
      <c r="CF19" s="374">
        <v>2013</v>
      </c>
      <c r="CG19" s="495">
        <f t="shared" si="4"/>
        <v>4.6333333333333337</v>
      </c>
      <c r="CH19" s="273">
        <v>14</v>
      </c>
      <c r="CI19" s="256">
        <f t="shared" si="5"/>
        <v>15</v>
      </c>
      <c r="CJ19" s="355">
        <f t="shared" si="6"/>
        <v>46</v>
      </c>
      <c r="CK19" s="256">
        <f t="shared" si="7"/>
        <v>46</v>
      </c>
      <c r="CL19" s="355">
        <f t="shared" si="8"/>
        <v>32</v>
      </c>
      <c r="CM19" s="256">
        <f t="shared" si="9"/>
        <v>31</v>
      </c>
      <c r="CN19" s="356">
        <f>79535/12</f>
        <v>6627.916666666667</v>
      </c>
      <c r="CO19" s="356">
        <f t="shared" si="10"/>
        <v>212093.33333333334</v>
      </c>
      <c r="CP19" s="251" t="s">
        <v>133</v>
      </c>
      <c r="CQ19" s="696">
        <f t="shared" si="11"/>
        <v>41733</v>
      </c>
      <c r="CR19" s="383">
        <v>42713</v>
      </c>
      <c r="CS19" s="744">
        <f>DATE(YEAR(CA19)+2,MONTH(CA19),DAY(CA19))</f>
        <v>42475</v>
      </c>
      <c r="CT19" s="251">
        <v>42788</v>
      </c>
      <c r="CU19" s="251" t="s">
        <v>601</v>
      </c>
      <c r="CV19" s="696" t="s">
        <v>133</v>
      </c>
      <c r="CW19" s="390">
        <v>42726</v>
      </c>
      <c r="CX19" s="515">
        <v>2016</v>
      </c>
      <c r="CY19" s="251" t="s">
        <v>133</v>
      </c>
      <c r="CZ19" s="124" t="s">
        <v>587</v>
      </c>
      <c r="DA19" s="124"/>
      <c r="DB19" s="349" t="s">
        <v>639</v>
      </c>
      <c r="DC19" s="124" t="s">
        <v>640</v>
      </c>
      <c r="DD19" s="212">
        <v>42928</v>
      </c>
      <c r="DE19" s="212">
        <v>43000</v>
      </c>
      <c r="DF19" s="127"/>
      <c r="DG19" s="206">
        <v>42779</v>
      </c>
      <c r="DH19" s="206">
        <v>42779</v>
      </c>
      <c r="DI19" s="127"/>
      <c r="DJ19" s="127"/>
      <c r="DK19" s="127"/>
      <c r="DL19" s="127">
        <v>42915</v>
      </c>
      <c r="DM19" s="127"/>
      <c r="DN19" s="127"/>
      <c r="DO19" s="249">
        <v>42808</v>
      </c>
      <c r="DP19" s="249" t="s">
        <v>133</v>
      </c>
      <c r="DQ19" s="127"/>
      <c r="DR19" s="127"/>
      <c r="DS19" s="128"/>
      <c r="DT19" s="128"/>
      <c r="DU19" s="128"/>
      <c r="DV19" s="589" t="str">
        <f t="shared" si="13"/>
        <v>0</v>
      </c>
      <c r="DW19" s="128"/>
      <c r="DX19" s="128"/>
      <c r="DY19" s="589" t="str">
        <f t="shared" si="14"/>
        <v>0</v>
      </c>
      <c r="DZ19" s="128"/>
      <c r="EA19" s="128"/>
      <c r="EB19" s="589" t="str">
        <f t="shared" si="15"/>
        <v>0</v>
      </c>
      <c r="EC19" s="128"/>
      <c r="ED19" s="128"/>
      <c r="EE19" s="589" t="str">
        <f t="shared" si="16"/>
        <v>0</v>
      </c>
      <c r="EF19" s="135"/>
      <c r="EG19" s="646"/>
      <c r="EH19" s="589" t="str">
        <f t="shared" si="17"/>
        <v>0</v>
      </c>
      <c r="EI19" s="245"/>
      <c r="EJ19" s="600"/>
      <c r="EK19" s="595"/>
      <c r="EL19" s="596" t="str">
        <f t="shared" si="18"/>
        <v>0</v>
      </c>
      <c r="EM19" s="600"/>
      <c r="EN19" s="595"/>
      <c r="EO19" s="596" t="str">
        <f t="shared" si="19"/>
        <v>0</v>
      </c>
      <c r="EP19" s="600"/>
      <c r="EQ19" s="595"/>
      <c r="ER19" s="596" t="str">
        <f t="shared" si="20"/>
        <v>0</v>
      </c>
      <c r="ES19" s="603"/>
      <c r="ET19" s="622"/>
      <c r="EU19" s="597" t="str">
        <f t="shared" si="21"/>
        <v>0</v>
      </c>
      <c r="EV19" s="598"/>
      <c r="EW19" s="599">
        <f ca="1">IF(EV19&lt;TODAY(),TODAY(),EV19)</f>
        <v>43163</v>
      </c>
      <c r="EX19" s="596" t="str">
        <f t="shared" ca="1" si="22"/>
        <v>0</v>
      </c>
      <c r="EY19" s="600"/>
      <c r="EZ19" s="600"/>
      <c r="FA19" s="596" t="str">
        <f t="shared" si="23"/>
        <v>0</v>
      </c>
      <c r="FB19" s="600"/>
      <c r="FC19" s="600"/>
      <c r="FD19" s="596" t="str">
        <f t="shared" si="24"/>
        <v>0</v>
      </c>
      <c r="FE19" s="600"/>
      <c r="FF19" s="600"/>
      <c r="FG19" s="596" t="str">
        <f t="shared" si="25"/>
        <v>0</v>
      </c>
      <c r="FH19" s="600"/>
      <c r="FI19" s="600"/>
      <c r="FJ19" s="596" t="str">
        <f t="shared" si="26"/>
        <v>0</v>
      </c>
      <c r="FK19" s="600"/>
      <c r="FL19" s="600"/>
      <c r="FM19" s="600"/>
      <c r="FN19" s="600"/>
      <c r="FO19" s="600"/>
      <c r="FP19" s="598">
        <f t="shared" si="27"/>
        <v>0</v>
      </c>
      <c r="FQ19" s="600"/>
      <c r="FR19" s="600">
        <f t="shared" si="60"/>
        <v>42726</v>
      </c>
      <c r="FS19" s="623"/>
      <c r="FT19" s="623"/>
      <c r="FU19" s="627"/>
      <c r="FV19" s="627"/>
      <c r="FW19" s="628">
        <f t="shared" si="28"/>
        <v>0</v>
      </c>
      <c r="FX19" s="628">
        <f t="shared" si="29"/>
        <v>1424.2</v>
      </c>
      <c r="FY19" s="624"/>
      <c r="FZ19" s="641" t="s">
        <v>856</v>
      </c>
      <c r="GA19" s="624"/>
      <c r="GB19" s="624"/>
      <c r="GC19" s="166"/>
      <c r="GD19" s="727">
        <v>2618300</v>
      </c>
      <c r="GE19" s="10">
        <v>3231832.2199999997</v>
      </c>
      <c r="GF19" s="477">
        <f>GP19+GT19+HA19+HT19+GY19+HE19+HB19</f>
        <v>3203899.37</v>
      </c>
      <c r="GG19" s="12">
        <f t="shared" si="30"/>
        <v>-27932.849999999627</v>
      </c>
      <c r="GH19" s="12">
        <f t="shared" si="31"/>
        <v>2583.3731414288018</v>
      </c>
      <c r="GI19" s="12">
        <f t="shared" si="32"/>
        <v>188464.66882352941</v>
      </c>
      <c r="GJ19" s="10">
        <v>2379882</v>
      </c>
      <c r="GK19" s="11"/>
      <c r="GL19" s="12">
        <f t="shared" si="33"/>
        <v>-2379882</v>
      </c>
      <c r="GM19" s="137">
        <f t="shared" si="34"/>
        <v>0.75185200115369855</v>
      </c>
      <c r="GN19" s="138"/>
      <c r="GO19" s="10">
        <v>750247</v>
      </c>
      <c r="GP19" s="11">
        <v>750247</v>
      </c>
      <c r="GQ19" s="23">
        <f t="shared" si="35"/>
        <v>44132.176470588238</v>
      </c>
      <c r="GR19" s="38">
        <f t="shared" si="36"/>
        <v>0</v>
      </c>
      <c r="GS19" s="10">
        <v>1395754</v>
      </c>
      <c r="GT19" s="11">
        <f t="shared" si="37"/>
        <v>1395754</v>
      </c>
      <c r="GU19" s="13">
        <v>259962</v>
      </c>
      <c r="GV19" s="13">
        <v>1135792</v>
      </c>
      <c r="GW19" s="38">
        <f t="shared" si="38"/>
        <v>0</v>
      </c>
      <c r="GX19" s="23">
        <f t="shared" si="39"/>
        <v>82103.176470588238</v>
      </c>
      <c r="GY19" s="11">
        <v>0</v>
      </c>
      <c r="GZ19" s="10">
        <f>254997+85000</f>
        <v>339997</v>
      </c>
      <c r="HA19" s="15">
        <v>254997</v>
      </c>
      <c r="HB19" s="69">
        <v>85000</v>
      </c>
      <c r="HC19" s="41">
        <f t="shared" si="40"/>
        <v>7.9589578370559119E-2</v>
      </c>
      <c r="HD19" s="329"/>
      <c r="HE19" s="15">
        <v>0</v>
      </c>
      <c r="HF19" s="24">
        <f>HA19-GZ19+HB19</f>
        <v>0</v>
      </c>
      <c r="HG19" s="23">
        <f t="shared" si="41"/>
        <v>14999.823529411764</v>
      </c>
      <c r="HH19" s="52"/>
      <c r="HI19" s="24">
        <f t="shared" si="42"/>
        <v>0</v>
      </c>
      <c r="HJ19" s="51"/>
      <c r="HK19" s="51"/>
      <c r="HL19" s="40">
        <v>508572.84914999997</v>
      </c>
      <c r="HM19" s="40">
        <v>340000</v>
      </c>
      <c r="HN19" s="23">
        <f t="shared" si="43"/>
        <v>79132</v>
      </c>
      <c r="HO19" s="40">
        <v>0</v>
      </c>
      <c r="HP19" s="23">
        <f t="shared" si="44"/>
        <v>79132</v>
      </c>
      <c r="HQ19" s="53">
        <f t="shared" si="45"/>
        <v>0.37842650836946623</v>
      </c>
      <c r="HR19" s="40">
        <v>157636.68239999999</v>
      </c>
      <c r="HS19" s="40"/>
      <c r="HT19" s="483">
        <v>717901.37</v>
      </c>
      <c r="HU19" s="42">
        <f t="shared" si="46"/>
        <v>3712472.2191500003</v>
      </c>
      <c r="HV19" s="245"/>
      <c r="HW19" s="245">
        <f t="shared" si="47"/>
        <v>0</v>
      </c>
      <c r="HX19" s="119"/>
      <c r="HY19" s="245"/>
      <c r="HZ19" s="245"/>
      <c r="IA19" s="119"/>
      <c r="IB19" s="119"/>
      <c r="IC19" s="245"/>
      <c r="ID19" s="119"/>
      <c r="IE19" s="245"/>
      <c r="IF19" s="119"/>
      <c r="IG19" s="245"/>
      <c r="IH19" s="120"/>
      <c r="II19" s="350"/>
      <c r="IJ19" s="341"/>
      <c r="IK19" s="341"/>
      <c r="IL19" s="128"/>
      <c r="IM19" s="245"/>
      <c r="IN19" s="128"/>
      <c r="IO19" s="245"/>
      <c r="IP19" s="120"/>
      <c r="IQ19" s="120"/>
      <c r="IR19" s="120"/>
      <c r="IS19" s="120"/>
      <c r="IT19" s="289"/>
      <c r="IU19" s="289"/>
      <c r="IV19" s="289"/>
      <c r="IW19" s="289"/>
      <c r="IX19" s="289"/>
      <c r="IY19" s="289"/>
      <c r="IZ19" s="245"/>
      <c r="JA19" s="128"/>
      <c r="JB19" s="120"/>
      <c r="JC19" s="128"/>
      <c r="JD19" s="128"/>
      <c r="JE19" s="120"/>
    </row>
    <row r="20" spans="1:265" ht="24.95" customHeight="1">
      <c r="A20" s="25" t="s">
        <v>77</v>
      </c>
      <c r="B20" s="7" t="s">
        <v>82</v>
      </c>
      <c r="C20" s="7" t="s">
        <v>119</v>
      </c>
      <c r="D20" s="7">
        <v>2012</v>
      </c>
      <c r="E20" s="7" t="s">
        <v>84</v>
      </c>
      <c r="F20" s="7" t="s">
        <v>58</v>
      </c>
      <c r="G20" s="7" t="s">
        <v>461</v>
      </c>
      <c r="H20" s="7" t="s">
        <v>265</v>
      </c>
      <c r="I20" s="56"/>
      <c r="J20" s="56"/>
      <c r="K20" s="275"/>
      <c r="L20" s="165"/>
      <c r="M20" s="165"/>
      <c r="N20" s="165"/>
      <c r="O20" s="219">
        <v>606</v>
      </c>
      <c r="P20" s="219">
        <v>89040</v>
      </c>
      <c r="Q20" s="219">
        <v>51520</v>
      </c>
      <c r="R20" s="219">
        <f t="shared" si="51"/>
        <v>12720</v>
      </c>
      <c r="S20" s="219">
        <f t="shared" si="52"/>
        <v>146.93069306930693</v>
      </c>
      <c r="T20" s="219">
        <f t="shared" si="53"/>
        <v>85.016501650165011</v>
      </c>
      <c r="U20" s="219">
        <f t="shared" si="54"/>
        <v>96.464949071300168</v>
      </c>
      <c r="V20" s="219">
        <f t="shared" si="55"/>
        <v>7360</v>
      </c>
      <c r="W20" s="219">
        <f t="shared" si="56"/>
        <v>86.571428571428569</v>
      </c>
      <c r="X20" s="220">
        <v>300</v>
      </c>
      <c r="Y20" s="221">
        <f t="shared" si="57"/>
        <v>0.88132013201320136</v>
      </c>
      <c r="Z20" s="220" t="s">
        <v>215</v>
      </c>
      <c r="AA20" s="222"/>
      <c r="AB20" s="222"/>
      <c r="AC20" s="7" t="s">
        <v>16</v>
      </c>
      <c r="AD20" s="345">
        <f t="shared" si="0"/>
        <v>7</v>
      </c>
      <c r="AE20" s="8"/>
      <c r="AF20" s="7">
        <v>7</v>
      </c>
      <c r="AG20" s="56"/>
      <c r="AH20" s="56"/>
      <c r="AI20" s="9">
        <v>534.08000000000004</v>
      </c>
      <c r="AJ20" s="85">
        <v>534.08000000000004</v>
      </c>
      <c r="AK20" s="9">
        <f t="shared" si="1"/>
        <v>76.297142857142859</v>
      </c>
      <c r="AL20" s="81"/>
      <c r="AM20" s="81">
        <v>0.28999999999999998</v>
      </c>
      <c r="AN20" s="81">
        <v>0.56999999999999995</v>
      </c>
      <c r="AO20" s="81">
        <v>0.14000000000000001</v>
      </c>
      <c r="AP20" s="81"/>
      <c r="AQ20" s="9">
        <v>217.58</v>
      </c>
      <c r="AR20" s="79">
        <v>238</v>
      </c>
      <c r="AS20" s="81">
        <f t="shared" si="58"/>
        <v>0.39273927392739272</v>
      </c>
      <c r="AT20" s="60">
        <v>2</v>
      </c>
      <c r="AU20" s="59" t="s">
        <v>621</v>
      </c>
      <c r="AV20" s="9"/>
      <c r="AW20" s="56"/>
      <c r="AX20" s="196">
        <v>40963</v>
      </c>
      <c r="AY20" s="467" t="s">
        <v>11</v>
      </c>
      <c r="AZ20" s="467" t="s">
        <v>238</v>
      </c>
      <c r="BA20" s="1"/>
      <c r="BB20" s="216">
        <v>41171</v>
      </c>
      <c r="BC20" s="102"/>
      <c r="BD20" s="102"/>
      <c r="BE20" s="216">
        <v>41225</v>
      </c>
      <c r="BF20" s="102"/>
      <c r="BG20" s="472"/>
      <c r="BH20" s="213"/>
      <c r="BI20" s="105"/>
      <c r="BJ20" s="105"/>
      <c r="BK20" s="321"/>
      <c r="BL20" s="322">
        <f t="shared" si="2"/>
        <v>731</v>
      </c>
      <c r="BM20" s="322">
        <f t="shared" si="3"/>
        <v>1096</v>
      </c>
      <c r="BN20" s="322" t="str">
        <f>IF(CW20&lt;$BL$11,"oui","non")</f>
        <v>oui</v>
      </c>
      <c r="BO20" s="105"/>
      <c r="BP20" s="472"/>
      <c r="BQ20" s="105"/>
      <c r="BR20" s="117"/>
      <c r="BS20" s="117"/>
      <c r="BT20" s="117"/>
      <c r="BU20" s="167" t="s">
        <v>72</v>
      </c>
      <c r="BV20" s="333">
        <v>41255</v>
      </c>
      <c r="BW20" s="268"/>
      <c r="BX20" s="168">
        <v>1051215.9099999999</v>
      </c>
      <c r="BY20" s="174">
        <f t="shared" si="50"/>
        <v>41802</v>
      </c>
      <c r="BZ20" s="268"/>
      <c r="CA20" s="373">
        <v>41612</v>
      </c>
      <c r="CB20" s="268">
        <v>41835</v>
      </c>
      <c r="CC20" s="681">
        <f t="shared" si="59"/>
        <v>1.9666666666666666</v>
      </c>
      <c r="CD20" s="511"/>
      <c r="CE20" s="382">
        <v>41400</v>
      </c>
      <c r="CF20" s="374">
        <v>2013</v>
      </c>
      <c r="CG20" s="495">
        <f t="shared" si="4"/>
        <v>7.6333333333333337</v>
      </c>
      <c r="CH20" s="135">
        <v>10</v>
      </c>
      <c r="CI20" s="135">
        <f t="shared" si="5"/>
        <v>11</v>
      </c>
      <c r="CJ20" s="122">
        <f t="shared" si="6"/>
        <v>14</v>
      </c>
      <c r="CK20" s="122">
        <f t="shared" si="7"/>
        <v>16</v>
      </c>
      <c r="CL20" s="122">
        <f t="shared" si="8"/>
        <v>4</v>
      </c>
      <c r="CM20" s="122">
        <f t="shared" si="9"/>
        <v>5</v>
      </c>
      <c r="CN20" s="246">
        <f>33787/12</f>
        <v>2815.5833333333335</v>
      </c>
      <c r="CO20" s="246">
        <f t="shared" si="10"/>
        <v>11262.333333333334</v>
      </c>
      <c r="CP20" s="121" t="s">
        <v>133</v>
      </c>
      <c r="CQ20" s="514">
        <f t="shared" si="11"/>
        <v>41704</v>
      </c>
      <c r="CR20" s="390">
        <v>41831</v>
      </c>
      <c r="CS20" s="385"/>
      <c r="CT20" s="136">
        <v>41883</v>
      </c>
      <c r="CU20" s="136"/>
      <c r="CV20" s="703">
        <v>41894</v>
      </c>
      <c r="CW20" s="382">
        <v>41894</v>
      </c>
      <c r="CX20" s="674">
        <v>2014</v>
      </c>
      <c r="CY20" s="136"/>
      <c r="CZ20" s="128"/>
      <c r="DA20" s="128"/>
      <c r="DB20" s="128"/>
      <c r="DC20" s="128"/>
      <c r="DD20" s="206" t="s">
        <v>133</v>
      </c>
      <c r="DE20" s="128">
        <v>42082</v>
      </c>
      <c r="DF20" s="128">
        <f>DATE(YEAR(CR20)+1,MONTH(CR20),DAY(CR20))</f>
        <v>42196</v>
      </c>
      <c r="DG20" s="128">
        <v>41915</v>
      </c>
      <c r="DH20" s="128">
        <v>41918</v>
      </c>
      <c r="DI20" s="128" t="s">
        <v>133</v>
      </c>
      <c r="DJ20" s="128">
        <v>42346</v>
      </c>
      <c r="DK20" s="128" t="s">
        <v>133</v>
      </c>
      <c r="DL20" s="128" t="s">
        <v>133</v>
      </c>
      <c r="DM20" s="128"/>
      <c r="DN20" s="119">
        <v>42851</v>
      </c>
      <c r="DO20" s="206" t="s">
        <v>133</v>
      </c>
      <c r="DP20" s="127"/>
      <c r="DQ20" s="206" t="s">
        <v>133</v>
      </c>
      <c r="DR20" s="206" t="s">
        <v>133</v>
      </c>
      <c r="DS20" s="128"/>
      <c r="DT20" s="120"/>
      <c r="DU20" s="120"/>
      <c r="DV20" s="589" t="str">
        <f t="shared" si="13"/>
        <v>0</v>
      </c>
      <c r="DW20" s="128"/>
      <c r="DX20" s="128"/>
      <c r="DY20" s="589" t="str">
        <f t="shared" si="14"/>
        <v>0</v>
      </c>
      <c r="DZ20" s="135"/>
      <c r="EA20" s="128"/>
      <c r="EB20" s="589" t="str">
        <f t="shared" si="15"/>
        <v>0</v>
      </c>
      <c r="EC20" s="135"/>
      <c r="ED20" s="128"/>
      <c r="EE20" s="589" t="str">
        <f t="shared" si="16"/>
        <v>0</v>
      </c>
      <c r="EF20" s="135"/>
      <c r="EG20" s="646"/>
      <c r="EH20" s="589" t="str">
        <f t="shared" si="17"/>
        <v>0</v>
      </c>
      <c r="EI20" s="245"/>
      <c r="EJ20" s="600"/>
      <c r="EK20" s="595"/>
      <c r="EL20" s="596" t="str">
        <f t="shared" si="18"/>
        <v>0</v>
      </c>
      <c r="EM20" s="600"/>
      <c r="EN20" s="595"/>
      <c r="EO20" s="596" t="str">
        <f t="shared" si="19"/>
        <v>0</v>
      </c>
      <c r="EP20" s="600"/>
      <c r="EQ20" s="595"/>
      <c r="ER20" s="596" t="str">
        <f t="shared" si="20"/>
        <v>0</v>
      </c>
      <c r="ES20" s="603"/>
      <c r="ET20" s="622"/>
      <c r="EU20" s="597" t="str">
        <f t="shared" si="21"/>
        <v>0</v>
      </c>
      <c r="EV20" s="598"/>
      <c r="EW20" s="599"/>
      <c r="EX20" s="596" t="str">
        <f t="shared" si="22"/>
        <v>0</v>
      </c>
      <c r="EY20" s="595"/>
      <c r="EZ20" s="600"/>
      <c r="FA20" s="596" t="str">
        <f t="shared" si="23"/>
        <v>0</v>
      </c>
      <c r="FB20" s="604"/>
      <c r="FC20" s="604"/>
      <c r="FD20" s="596" t="str">
        <f t="shared" si="24"/>
        <v>0</v>
      </c>
      <c r="FE20" s="604"/>
      <c r="FF20" s="602"/>
      <c r="FG20" s="596" t="str">
        <f t="shared" si="25"/>
        <v>0</v>
      </c>
      <c r="FH20" s="600"/>
      <c r="FI20" s="595"/>
      <c r="FJ20" s="596" t="str">
        <f t="shared" si="26"/>
        <v>0</v>
      </c>
      <c r="FK20" s="595"/>
      <c r="FL20" s="595"/>
      <c r="FM20" s="595"/>
      <c r="FN20" s="595"/>
      <c r="FO20" s="600"/>
      <c r="FP20" s="598">
        <f t="shared" si="27"/>
        <v>0</v>
      </c>
      <c r="FQ20" s="595"/>
      <c r="FR20" s="600">
        <f t="shared" si="60"/>
        <v>41894</v>
      </c>
      <c r="FS20" s="627"/>
      <c r="FT20" s="627"/>
      <c r="FU20" s="627"/>
      <c r="FV20" s="627"/>
      <c r="FW20" s="628">
        <f t="shared" si="28"/>
        <v>0</v>
      </c>
      <c r="FX20" s="628">
        <f t="shared" si="29"/>
        <v>1396.4666666666667</v>
      </c>
      <c r="FY20" s="629"/>
      <c r="FZ20" s="656"/>
      <c r="GA20" s="629"/>
      <c r="GB20" s="629"/>
      <c r="GC20" s="166"/>
      <c r="GD20" s="655"/>
      <c r="GE20" s="10">
        <v>1127563</v>
      </c>
      <c r="GF20" s="477">
        <f>GP20+GT20+HA20+HT20+GY20+HE20</f>
        <v>1127563</v>
      </c>
      <c r="GG20" s="12">
        <f t="shared" si="30"/>
        <v>0</v>
      </c>
      <c r="GH20" s="12">
        <f t="shared" si="31"/>
        <v>2111.2249101258235</v>
      </c>
      <c r="GI20" s="12">
        <f t="shared" si="32"/>
        <v>161080.42857142858</v>
      </c>
      <c r="GJ20" s="10">
        <v>970725</v>
      </c>
      <c r="GK20" s="11"/>
      <c r="GL20" s="12">
        <f t="shared" si="33"/>
        <v>-970725</v>
      </c>
      <c r="GM20" s="137">
        <f t="shared" si="34"/>
        <v>0.87898434499890454</v>
      </c>
      <c r="GN20" s="138"/>
      <c r="GO20" s="10">
        <v>294297</v>
      </c>
      <c r="GP20" s="11">
        <v>294297</v>
      </c>
      <c r="GQ20" s="23">
        <f t="shared" si="35"/>
        <v>42042.428571428572</v>
      </c>
      <c r="GR20" s="38">
        <f t="shared" si="36"/>
        <v>0</v>
      </c>
      <c r="GS20" s="10">
        <v>604971</v>
      </c>
      <c r="GT20" s="11">
        <f t="shared" si="37"/>
        <v>604971</v>
      </c>
      <c r="GU20" s="13">
        <v>112853</v>
      </c>
      <c r="GV20" s="13">
        <v>492118</v>
      </c>
      <c r="GW20" s="38">
        <f t="shared" si="38"/>
        <v>0</v>
      </c>
      <c r="GX20" s="23">
        <f t="shared" si="39"/>
        <v>86424.428571428565</v>
      </c>
      <c r="GY20" s="11">
        <v>0</v>
      </c>
      <c r="GZ20" s="10">
        <v>177688</v>
      </c>
      <c r="HA20" s="15">
        <v>177688</v>
      </c>
      <c r="HB20" s="69"/>
      <c r="HC20" s="41">
        <f t="shared" si="40"/>
        <v>0.15758587325054121</v>
      </c>
      <c r="HD20" s="329"/>
      <c r="HE20" s="15">
        <v>0</v>
      </c>
      <c r="HF20" s="24">
        <f>HA20-GZ20</f>
        <v>0</v>
      </c>
      <c r="HG20" s="23">
        <f t="shared" si="41"/>
        <v>25384</v>
      </c>
      <c r="HH20" s="52"/>
      <c r="HI20" s="24">
        <f t="shared" si="42"/>
        <v>0</v>
      </c>
      <c r="HJ20" s="51"/>
      <c r="HK20" s="51"/>
      <c r="HL20" s="40">
        <v>176884.08837750001</v>
      </c>
      <c r="HM20" s="40">
        <v>119543.69426743503</v>
      </c>
      <c r="HN20" s="23">
        <f t="shared" si="43"/>
        <v>84504.099181062149</v>
      </c>
      <c r="HO20" s="40">
        <v>0</v>
      </c>
      <c r="HP20" s="23">
        <f t="shared" si="44"/>
        <v>84504.099181062149</v>
      </c>
      <c r="HQ20" s="53">
        <f t="shared" si="45"/>
        <v>0.47252544420817433</v>
      </c>
      <c r="HR20" s="40">
        <v>52601.919999999998</v>
      </c>
      <c r="HS20" s="40"/>
      <c r="HT20" s="483">
        <v>50607</v>
      </c>
      <c r="HU20" s="42">
        <f t="shared" si="46"/>
        <v>1304447.0883775</v>
      </c>
      <c r="HV20" s="245"/>
      <c r="HW20" s="245">
        <f t="shared" si="47"/>
        <v>0</v>
      </c>
      <c r="HX20" s="119"/>
      <c r="HY20" s="245"/>
      <c r="HZ20" s="245"/>
      <c r="IA20" s="119"/>
      <c r="IB20" s="119"/>
      <c r="IC20" s="245"/>
      <c r="ID20" s="119"/>
      <c r="IE20" s="245"/>
      <c r="IF20" s="119"/>
      <c r="IG20" s="245"/>
      <c r="IH20" s="120"/>
      <c r="II20" s="350"/>
      <c r="IJ20" s="341"/>
      <c r="IK20" s="341"/>
      <c r="IL20" s="128"/>
      <c r="IM20" s="245"/>
      <c r="IN20" s="128"/>
      <c r="IO20" s="245"/>
      <c r="IP20" s="351"/>
      <c r="IQ20" s="351"/>
      <c r="IR20" s="351"/>
      <c r="IS20" s="351"/>
      <c r="IT20" s="289"/>
      <c r="IU20" s="289"/>
      <c r="IV20" s="128"/>
      <c r="IW20" s="245"/>
      <c r="IX20" s="128"/>
      <c r="IY20" s="245"/>
      <c r="IZ20" s="245"/>
      <c r="JA20" s="128"/>
      <c r="JB20" s="120"/>
      <c r="JC20" s="128"/>
      <c r="JD20" s="128"/>
      <c r="JE20" s="120"/>
    </row>
    <row r="21" spans="1:265" ht="197.25" customHeight="1">
      <c r="A21" s="25" t="s">
        <v>81</v>
      </c>
      <c r="B21" s="7" t="s">
        <v>34</v>
      </c>
      <c r="C21" s="7" t="s">
        <v>118</v>
      </c>
      <c r="D21" s="7">
        <v>2012</v>
      </c>
      <c r="E21" s="7" t="s">
        <v>92</v>
      </c>
      <c r="F21" s="7" t="s">
        <v>419</v>
      </c>
      <c r="G21" s="7" t="s">
        <v>697</v>
      </c>
      <c r="H21" s="7" t="s">
        <v>265</v>
      </c>
      <c r="I21" s="56"/>
      <c r="J21" s="56"/>
      <c r="K21" s="435" t="s">
        <v>687</v>
      </c>
      <c r="L21" s="165"/>
      <c r="M21" s="165"/>
      <c r="N21" s="165"/>
      <c r="O21" s="219">
        <v>6156.15</v>
      </c>
      <c r="P21" s="219">
        <v>164070</v>
      </c>
      <c r="Q21" s="219">
        <v>163875</v>
      </c>
      <c r="R21" s="219">
        <f t="shared" si="51"/>
        <v>7457.727272727273</v>
      </c>
      <c r="S21" s="219">
        <f t="shared" si="52"/>
        <v>26.651397383104701</v>
      </c>
      <c r="T21" s="219">
        <f t="shared" si="53"/>
        <v>26.619721741672961</v>
      </c>
      <c r="U21" s="219">
        <f t="shared" si="54"/>
        <v>97.053597867930122</v>
      </c>
      <c r="V21" s="219">
        <f t="shared" si="55"/>
        <v>7448.863636363636</v>
      </c>
      <c r="W21" s="219">
        <f t="shared" si="56"/>
        <v>279.82499999999999</v>
      </c>
      <c r="X21" s="220"/>
      <c r="Y21" s="221">
        <f t="shared" si="57"/>
        <v>0.27427856696149383</v>
      </c>
      <c r="Z21" s="220" t="s">
        <v>202</v>
      </c>
      <c r="AA21" s="222">
        <v>890</v>
      </c>
      <c r="AB21" s="223"/>
      <c r="AC21" s="7" t="s">
        <v>16</v>
      </c>
      <c r="AD21" s="345">
        <f t="shared" si="0"/>
        <v>22</v>
      </c>
      <c r="AE21" s="8"/>
      <c r="AF21" s="7">
        <v>22</v>
      </c>
      <c r="AG21" s="56"/>
      <c r="AH21" s="56"/>
      <c r="AI21" s="9">
        <v>1688.5</v>
      </c>
      <c r="AJ21" s="85">
        <v>1688.5</v>
      </c>
      <c r="AK21" s="9">
        <f t="shared" si="1"/>
        <v>76.75</v>
      </c>
      <c r="AL21" s="81">
        <v>0</v>
      </c>
      <c r="AM21" s="81">
        <f>4/AD21</f>
        <v>0.18181818181818182</v>
      </c>
      <c r="AN21" s="81">
        <f>8/AD21</f>
        <v>0.36363636363636365</v>
      </c>
      <c r="AO21" s="81">
        <f>6/AD21</f>
        <v>0.27272727272727271</v>
      </c>
      <c r="AP21" s="81">
        <f>4/AD21</f>
        <v>0.18181818181818182</v>
      </c>
      <c r="AQ21" s="9">
        <f>96.15+803.85+941.6</f>
        <v>1841.6</v>
      </c>
      <c r="AR21" s="79"/>
      <c r="AS21" s="81">
        <f t="shared" si="58"/>
        <v>0</v>
      </c>
      <c r="AT21" s="60">
        <v>1.5</v>
      </c>
      <c r="AU21" s="62" t="s">
        <v>620</v>
      </c>
      <c r="AV21" s="9" t="s">
        <v>126</v>
      </c>
      <c r="AW21" s="56"/>
      <c r="AX21" s="196">
        <v>40963</v>
      </c>
      <c r="AY21" s="467" t="s">
        <v>11</v>
      </c>
      <c r="AZ21" s="467" t="s">
        <v>236</v>
      </c>
      <c r="BA21" s="1"/>
      <c r="BB21" s="216">
        <v>41177</v>
      </c>
      <c r="BC21" s="102"/>
      <c r="BD21" s="102"/>
      <c r="BE21" s="216">
        <v>41197</v>
      </c>
      <c r="BF21" s="102"/>
      <c r="BG21" s="472"/>
      <c r="BH21" s="213"/>
      <c r="BI21" s="105"/>
      <c r="BJ21" s="105"/>
      <c r="BK21" s="322">
        <v>41319</v>
      </c>
      <c r="BL21" s="322">
        <f t="shared" si="2"/>
        <v>42049</v>
      </c>
      <c r="BM21" s="322">
        <f t="shared" si="3"/>
        <v>42414</v>
      </c>
      <c r="BN21" s="322" t="str">
        <f>IF(CW21&gt;BL19,"oui","non")</f>
        <v>oui</v>
      </c>
      <c r="BO21" s="105"/>
      <c r="BP21" s="472"/>
      <c r="BQ21" s="105"/>
      <c r="BR21" s="117"/>
      <c r="BS21" s="117"/>
      <c r="BT21" s="117"/>
      <c r="BU21" s="167" t="s">
        <v>72</v>
      </c>
      <c r="BV21" s="333">
        <v>41256</v>
      </c>
      <c r="BW21" s="268" t="s">
        <v>133</v>
      </c>
      <c r="BX21" s="168">
        <v>3339290.63</v>
      </c>
      <c r="BY21" s="174">
        <f t="shared" si="50"/>
        <v>41803</v>
      </c>
      <c r="BZ21" s="268">
        <f>DATE(YEAR(BV21),MONTH(BV21)+24,DAY(BV21))</f>
        <v>41986</v>
      </c>
      <c r="CA21" s="373">
        <v>41569</v>
      </c>
      <c r="CB21" s="268">
        <v>42051</v>
      </c>
      <c r="CC21" s="681">
        <f t="shared" si="59"/>
        <v>11.933333333333334</v>
      </c>
      <c r="CD21" s="511"/>
      <c r="CE21" s="380">
        <v>41295</v>
      </c>
      <c r="CF21" s="374">
        <v>2013</v>
      </c>
      <c r="CG21" s="495">
        <f t="shared" si="4"/>
        <v>3.9333333333333331</v>
      </c>
      <c r="CH21" s="256">
        <v>14</v>
      </c>
      <c r="CI21" s="122">
        <f t="shared" si="5"/>
        <v>15</v>
      </c>
      <c r="CJ21" s="122">
        <f t="shared" si="6"/>
        <v>33</v>
      </c>
      <c r="CK21" s="122">
        <f t="shared" si="7"/>
        <v>36</v>
      </c>
      <c r="CL21" s="122">
        <f t="shared" si="8"/>
        <v>19</v>
      </c>
      <c r="CM21" s="122">
        <f t="shared" si="9"/>
        <v>21</v>
      </c>
      <c r="CN21" s="246">
        <f>106635.529075152/12</f>
        <v>8886.294089596</v>
      </c>
      <c r="CO21" s="246">
        <f t="shared" si="10"/>
        <v>168839.587702324</v>
      </c>
      <c r="CP21" s="250" t="s">
        <v>133</v>
      </c>
      <c r="CQ21" s="652">
        <f t="shared" si="11"/>
        <v>41719</v>
      </c>
      <c r="CR21" s="382">
        <v>42326</v>
      </c>
      <c r="CS21" s="386"/>
      <c r="CT21" s="250">
        <v>42338</v>
      </c>
      <c r="CU21" s="250">
        <v>42535</v>
      </c>
      <c r="CV21" s="746" t="s">
        <v>133</v>
      </c>
      <c r="CW21" s="390">
        <v>42409</v>
      </c>
      <c r="CX21" s="515">
        <v>2016</v>
      </c>
      <c r="CY21" s="250"/>
      <c r="CZ21" s="212">
        <v>42321</v>
      </c>
      <c r="DA21" s="212"/>
      <c r="DB21" s="212" t="s">
        <v>588</v>
      </c>
      <c r="DC21" s="212">
        <v>42348</v>
      </c>
      <c r="DD21" s="212">
        <v>42430</v>
      </c>
      <c r="DE21" s="212">
        <v>42869</v>
      </c>
      <c r="DF21" s="212">
        <f>DATE(YEAR(CR21)+1,MONTH(CR21),DAY(CR21))</f>
        <v>42692</v>
      </c>
      <c r="DG21" s="128">
        <v>42530</v>
      </c>
      <c r="DH21" s="128">
        <v>42531</v>
      </c>
      <c r="DI21" s="128" t="s">
        <v>133</v>
      </c>
      <c r="DJ21" s="128">
        <v>42884</v>
      </c>
      <c r="DK21" s="127"/>
      <c r="DL21" s="349" t="s">
        <v>592</v>
      </c>
      <c r="DM21" s="349"/>
      <c r="DN21" s="196" t="s">
        <v>595</v>
      </c>
      <c r="DO21" s="249">
        <v>42808</v>
      </c>
      <c r="DP21" s="249" t="s">
        <v>133</v>
      </c>
      <c r="DQ21" s="249">
        <v>42947</v>
      </c>
      <c r="DR21" s="127"/>
      <c r="DS21" s="128"/>
      <c r="DT21" s="128"/>
      <c r="DU21" s="128"/>
      <c r="DV21" s="589" t="str">
        <f t="shared" si="13"/>
        <v>0</v>
      </c>
      <c r="DW21" s="128"/>
      <c r="DX21" s="128"/>
      <c r="DY21" s="589" t="str">
        <f t="shared" si="14"/>
        <v>0</v>
      </c>
      <c r="DZ21" s="128"/>
      <c r="EA21" s="128"/>
      <c r="EB21" s="589" t="str">
        <f t="shared" si="15"/>
        <v>0</v>
      </c>
      <c r="EC21" s="128"/>
      <c r="ED21" s="128"/>
      <c r="EE21" s="589" t="str">
        <f t="shared" si="16"/>
        <v>0</v>
      </c>
      <c r="EF21" s="135"/>
      <c r="EG21" s="646"/>
      <c r="EH21" s="589" t="str">
        <f t="shared" si="17"/>
        <v>0</v>
      </c>
      <c r="EI21" s="245"/>
      <c r="EJ21" s="600"/>
      <c r="EK21" s="595"/>
      <c r="EL21" s="596" t="str">
        <f t="shared" si="18"/>
        <v>0</v>
      </c>
      <c r="EM21" s="600"/>
      <c r="EN21" s="595"/>
      <c r="EO21" s="596" t="str">
        <f t="shared" si="19"/>
        <v>0</v>
      </c>
      <c r="EP21" s="600"/>
      <c r="EQ21" s="595"/>
      <c r="ER21" s="596" t="str">
        <f t="shared" si="20"/>
        <v>0</v>
      </c>
      <c r="ES21" s="603"/>
      <c r="ET21" s="622"/>
      <c r="EU21" s="597" t="str">
        <f t="shared" si="21"/>
        <v>0</v>
      </c>
      <c r="EV21" s="598"/>
      <c r="EW21" s="599">
        <f ca="1">IF(EV21&lt;TODAY(),TODAY(),EV21)</f>
        <v>43163</v>
      </c>
      <c r="EX21" s="596" t="str">
        <f t="shared" ca="1" si="22"/>
        <v>0</v>
      </c>
      <c r="EY21" s="595"/>
      <c r="EZ21" s="600"/>
      <c r="FA21" s="596" t="str">
        <f t="shared" si="23"/>
        <v>0</v>
      </c>
      <c r="FB21" s="604"/>
      <c r="FC21" s="604"/>
      <c r="FD21" s="596" t="str">
        <f t="shared" si="24"/>
        <v>0</v>
      </c>
      <c r="FE21" s="604"/>
      <c r="FF21" s="602"/>
      <c r="FG21" s="596" t="str">
        <f t="shared" si="25"/>
        <v>0</v>
      </c>
      <c r="FH21" s="600"/>
      <c r="FI21" s="600"/>
      <c r="FJ21" s="596" t="str">
        <f t="shared" si="26"/>
        <v>0</v>
      </c>
      <c r="FK21" s="602"/>
      <c r="FL21" s="602"/>
      <c r="FM21" s="602"/>
      <c r="FN21" s="602"/>
      <c r="FO21" s="600"/>
      <c r="FP21" s="598">
        <f t="shared" si="27"/>
        <v>0</v>
      </c>
      <c r="FQ21" s="602"/>
      <c r="FR21" s="600">
        <f t="shared" si="60"/>
        <v>42409</v>
      </c>
      <c r="FS21" s="623"/>
      <c r="FT21" s="623"/>
      <c r="FU21" s="627">
        <v>125069</v>
      </c>
      <c r="FV21" s="627"/>
      <c r="FW21" s="628">
        <f t="shared" si="28"/>
        <v>0</v>
      </c>
      <c r="FX21" s="628">
        <f t="shared" si="29"/>
        <v>1413.6333333333334</v>
      </c>
      <c r="FY21" s="624"/>
      <c r="FZ21" s="641" t="s">
        <v>853</v>
      </c>
      <c r="GA21" s="624"/>
      <c r="GB21" s="624"/>
      <c r="GC21" s="166"/>
      <c r="GD21" s="727">
        <v>3365389</v>
      </c>
      <c r="GE21" s="10">
        <v>3674939</v>
      </c>
      <c r="GF21" s="477">
        <f>GP21+GT21+HA21+HT21+GY21+HE21+HB21</f>
        <v>3899161</v>
      </c>
      <c r="GG21" s="12">
        <f t="shared" si="30"/>
        <v>224222</v>
      </c>
      <c r="GH21" s="12">
        <f t="shared" si="31"/>
        <v>2309.2454841575363</v>
      </c>
      <c r="GI21" s="12">
        <f t="shared" si="32"/>
        <v>177234.59090909091</v>
      </c>
      <c r="GJ21" s="10">
        <v>3169080</v>
      </c>
      <c r="GK21" s="11"/>
      <c r="GL21" s="12">
        <f t="shared" si="33"/>
        <v>-3169080</v>
      </c>
      <c r="GM21" s="137">
        <f t="shared" si="34"/>
        <v>0.88045833685946884</v>
      </c>
      <c r="GN21" s="138"/>
      <c r="GO21" s="10">
        <v>929819</v>
      </c>
      <c r="GP21" s="11">
        <v>929819</v>
      </c>
      <c r="GQ21" s="23">
        <f t="shared" si="35"/>
        <v>42264.5</v>
      </c>
      <c r="GR21" s="38">
        <f t="shared" si="36"/>
        <v>0</v>
      </c>
      <c r="GS21" s="10">
        <v>1895079</v>
      </c>
      <c r="GT21" s="11">
        <f t="shared" si="37"/>
        <v>1895079</v>
      </c>
      <c r="GU21" s="13">
        <v>328778</v>
      </c>
      <c r="GV21" s="13">
        <v>1566301</v>
      </c>
      <c r="GW21" s="38">
        <f t="shared" si="38"/>
        <v>0</v>
      </c>
      <c r="GX21" s="23">
        <f t="shared" si="39"/>
        <v>86139.954545454544</v>
      </c>
      <c r="GY21" s="11">
        <v>0</v>
      </c>
      <c r="GZ21" s="10">
        <f>558000+110000</f>
        <v>668000</v>
      </c>
      <c r="HA21" s="15">
        <v>558000</v>
      </c>
      <c r="HB21" s="69">
        <v>110000</v>
      </c>
      <c r="HC21" s="41">
        <f t="shared" si="40"/>
        <v>0.14310770958162539</v>
      </c>
      <c r="HD21" s="329"/>
      <c r="HE21" s="15">
        <v>0</v>
      </c>
      <c r="HF21" s="24">
        <f>HA21-GZ21+HB21</f>
        <v>0</v>
      </c>
      <c r="HG21" s="23">
        <f t="shared" si="41"/>
        <v>25363.636363636364</v>
      </c>
      <c r="HH21" s="52"/>
      <c r="HI21" s="24">
        <f t="shared" si="42"/>
        <v>0</v>
      </c>
      <c r="HJ21" s="51"/>
      <c r="HK21" s="51"/>
      <c r="HL21" s="40">
        <v>1214321.7850000001</v>
      </c>
      <c r="HM21" s="40">
        <v>440000</v>
      </c>
      <c r="HN21" s="23">
        <f t="shared" si="43"/>
        <v>87628.136363636368</v>
      </c>
      <c r="HO21" s="40">
        <v>91493</v>
      </c>
      <c r="HP21" s="23">
        <f t="shared" si="44"/>
        <v>91786.909090909088</v>
      </c>
      <c r="HQ21" s="53">
        <f t="shared" si="45"/>
        <v>0.40825799874371793</v>
      </c>
      <c r="HR21" s="40">
        <v>167316.375</v>
      </c>
      <c r="HS21" s="482"/>
      <c r="HT21" s="483">
        <v>406263</v>
      </c>
      <c r="HU21" s="42">
        <f t="shared" si="46"/>
        <v>5113482.7850000001</v>
      </c>
      <c r="HV21" s="245"/>
      <c r="HW21" s="245">
        <f t="shared" si="47"/>
        <v>0</v>
      </c>
      <c r="HX21" s="119"/>
      <c r="HY21" s="245"/>
      <c r="HZ21" s="245"/>
      <c r="IA21" s="119"/>
      <c r="IB21" s="119"/>
      <c r="IC21" s="245"/>
      <c r="ID21" s="119"/>
      <c r="IE21" s="245"/>
      <c r="IF21" s="119"/>
      <c r="IG21" s="245"/>
      <c r="IH21" s="120"/>
      <c r="II21" s="350"/>
      <c r="IJ21" s="341"/>
      <c r="IK21" s="341"/>
      <c r="IL21" s="128"/>
      <c r="IM21" s="245"/>
      <c r="IN21" s="128"/>
      <c r="IO21" s="245"/>
      <c r="IP21" s="351"/>
      <c r="IQ21" s="351"/>
      <c r="IR21" s="351"/>
      <c r="IS21" s="351"/>
      <c r="IT21" s="289"/>
      <c r="IU21" s="289"/>
      <c r="IV21" s="289"/>
      <c r="IW21" s="289"/>
      <c r="IX21" s="289"/>
      <c r="IY21" s="289"/>
      <c r="IZ21" s="245"/>
      <c r="JA21" s="128"/>
      <c r="JB21" s="120"/>
      <c r="JC21" s="128"/>
      <c r="JD21" s="128"/>
      <c r="JE21" s="120"/>
    </row>
    <row r="22" spans="1:265" ht="106.5" customHeight="1">
      <c r="A22" s="25" t="s">
        <v>292</v>
      </c>
      <c r="B22" s="7" t="s">
        <v>34</v>
      </c>
      <c r="C22" s="7" t="s">
        <v>118</v>
      </c>
      <c r="D22" s="7">
        <v>2012</v>
      </c>
      <c r="E22" s="7" t="s">
        <v>93</v>
      </c>
      <c r="F22" s="7" t="s">
        <v>58</v>
      </c>
      <c r="G22" s="7" t="s">
        <v>519</v>
      </c>
      <c r="H22" s="7" t="s">
        <v>265</v>
      </c>
      <c r="I22" s="56"/>
      <c r="J22" s="56"/>
      <c r="K22" s="435" t="s">
        <v>688</v>
      </c>
      <c r="L22" s="165"/>
      <c r="M22" s="165"/>
      <c r="N22" s="165"/>
      <c r="O22" s="219">
        <v>3000</v>
      </c>
      <c r="P22" s="219">
        <v>200500</v>
      </c>
      <c r="Q22" s="219">
        <v>112930</v>
      </c>
      <c r="R22" s="219">
        <f t="shared" si="51"/>
        <v>20050</v>
      </c>
      <c r="S22" s="219">
        <f t="shared" si="52"/>
        <v>66.833333333333329</v>
      </c>
      <c r="T22" s="219">
        <f t="shared" si="53"/>
        <v>37.643333333333331</v>
      </c>
      <c r="U22" s="219">
        <f t="shared" si="54"/>
        <v>120.70587229312298</v>
      </c>
      <c r="V22" s="219">
        <f t="shared" si="55"/>
        <v>11293</v>
      </c>
      <c r="W22" s="219">
        <f t="shared" si="56"/>
        <v>300</v>
      </c>
      <c r="X22" s="220">
        <v>691.97</v>
      </c>
      <c r="Y22" s="221">
        <f t="shared" si="57"/>
        <v>0.31186000000000003</v>
      </c>
      <c r="Z22" s="220" t="s">
        <v>202</v>
      </c>
      <c r="AA22" s="222">
        <v>850</v>
      </c>
      <c r="AB22" s="223">
        <v>0.3</v>
      </c>
      <c r="AC22" s="7" t="s">
        <v>16</v>
      </c>
      <c r="AD22" s="345">
        <f t="shared" si="0"/>
        <v>10</v>
      </c>
      <c r="AE22" s="8"/>
      <c r="AF22" s="7">
        <v>10</v>
      </c>
      <c r="AG22" s="56"/>
      <c r="AH22" s="56"/>
      <c r="AI22" s="9">
        <v>935.58</v>
      </c>
      <c r="AJ22" s="85">
        <v>935.58</v>
      </c>
      <c r="AK22" s="9">
        <f t="shared" si="1"/>
        <v>93.558000000000007</v>
      </c>
      <c r="AL22" s="62"/>
      <c r="AM22" s="62"/>
      <c r="AN22" s="81">
        <f>3/AD22</f>
        <v>0.3</v>
      </c>
      <c r="AO22" s="81">
        <f>5/AD22</f>
        <v>0.5</v>
      </c>
      <c r="AP22" s="81">
        <f>2/AD22</f>
        <v>0.2</v>
      </c>
      <c r="AQ22" s="9">
        <v>884</v>
      </c>
      <c r="AR22" s="79">
        <v>91</v>
      </c>
      <c r="AS22" s="81">
        <f t="shared" si="58"/>
        <v>3.0333333333333334E-2</v>
      </c>
      <c r="AT22" s="60">
        <v>1.5</v>
      </c>
      <c r="AU22" s="62" t="s">
        <v>620</v>
      </c>
      <c r="AV22" s="9"/>
      <c r="AW22" s="56"/>
      <c r="AX22" s="196">
        <v>40963</v>
      </c>
      <c r="AY22" s="467" t="s">
        <v>11</v>
      </c>
      <c r="AZ22" s="467" t="s">
        <v>236</v>
      </c>
      <c r="BA22" s="1"/>
      <c r="BB22" s="216">
        <v>41179</v>
      </c>
      <c r="BC22" s="102"/>
      <c r="BD22" s="102"/>
      <c r="BE22" s="216">
        <v>41190</v>
      </c>
      <c r="BF22" s="102"/>
      <c r="BG22" s="472"/>
      <c r="BH22" s="213"/>
      <c r="BI22" s="105"/>
      <c r="BJ22" s="105"/>
      <c r="BK22" s="322">
        <v>41319</v>
      </c>
      <c r="BL22" s="322">
        <f t="shared" si="2"/>
        <v>42049</v>
      </c>
      <c r="BM22" s="322">
        <f t="shared" si="3"/>
        <v>42414</v>
      </c>
      <c r="BN22" s="322" t="str">
        <f t="shared" ref="BN22:BN43" si="61">IF(CW22&gt;BL22,"oui","non")</f>
        <v>oui</v>
      </c>
      <c r="BO22" s="105"/>
      <c r="BP22" s="472"/>
      <c r="BQ22" s="105"/>
      <c r="BR22" s="117"/>
      <c r="BS22" s="117"/>
      <c r="BT22" s="117"/>
      <c r="BU22" s="167" t="s">
        <v>149</v>
      </c>
      <c r="BV22" s="333">
        <v>41255</v>
      </c>
      <c r="BW22" s="268"/>
      <c r="BX22" s="168">
        <v>1784992.95</v>
      </c>
      <c r="BY22" s="174">
        <f t="shared" si="50"/>
        <v>41802</v>
      </c>
      <c r="BZ22" s="268">
        <f>DATE(YEAR(BV22),MONTH(BV22)+24,DAY(BV22))</f>
        <v>41985</v>
      </c>
      <c r="CA22" s="373">
        <v>41746</v>
      </c>
      <c r="CB22" s="268">
        <v>41985</v>
      </c>
      <c r="CC22" s="681">
        <f t="shared" si="59"/>
        <v>10.033333333333333</v>
      </c>
      <c r="CD22" s="511"/>
      <c r="CE22" s="380">
        <v>41451</v>
      </c>
      <c r="CF22" s="374">
        <v>2013</v>
      </c>
      <c r="CG22" s="495">
        <f t="shared" si="4"/>
        <v>9.0666666666666664</v>
      </c>
      <c r="CH22" s="256">
        <v>14</v>
      </c>
      <c r="CI22" s="256">
        <f t="shared" si="5"/>
        <v>15</v>
      </c>
      <c r="CJ22" s="135">
        <f t="shared" si="6"/>
        <v>26</v>
      </c>
      <c r="CK22" s="135">
        <f t="shared" si="7"/>
        <v>27</v>
      </c>
      <c r="CL22" s="135">
        <f t="shared" si="8"/>
        <v>12</v>
      </c>
      <c r="CM22" s="135">
        <f t="shared" si="9"/>
        <v>12</v>
      </c>
      <c r="CN22" s="245">
        <f>56031.6736154515/12</f>
        <v>4669.3061346209588</v>
      </c>
      <c r="CO22" s="245">
        <f t="shared" si="10"/>
        <v>56031.673615451509</v>
      </c>
      <c r="CP22" s="250" t="s">
        <v>133</v>
      </c>
      <c r="CQ22" s="652">
        <f t="shared" si="11"/>
        <v>41877</v>
      </c>
      <c r="CR22" s="382">
        <v>42265</v>
      </c>
      <c r="CS22" s="386"/>
      <c r="CT22" s="136">
        <v>42285</v>
      </c>
      <c r="CU22" s="136"/>
      <c r="CV22" s="747">
        <v>42277</v>
      </c>
      <c r="CW22" s="390">
        <v>42286</v>
      </c>
      <c r="CX22" s="515">
        <v>2015</v>
      </c>
      <c r="CY22" s="136"/>
      <c r="CZ22" s="136" t="s">
        <v>133</v>
      </c>
      <c r="DA22" s="136"/>
      <c r="DB22" s="128" t="s">
        <v>133</v>
      </c>
      <c r="DC22" s="128" t="s">
        <v>133</v>
      </c>
      <c r="DD22" s="128" t="s">
        <v>133</v>
      </c>
      <c r="DE22" s="133" t="s">
        <v>603</v>
      </c>
      <c r="DF22" s="127"/>
      <c r="DG22" s="206">
        <v>42311</v>
      </c>
      <c r="DH22" s="249" t="s">
        <v>410</v>
      </c>
      <c r="DI22" s="249" t="s">
        <v>133</v>
      </c>
      <c r="DJ22" s="249">
        <v>42782</v>
      </c>
      <c r="DK22" s="127"/>
      <c r="DL22" s="249" t="s">
        <v>573</v>
      </c>
      <c r="DM22" s="299"/>
      <c r="DN22" s="684" t="s">
        <v>678</v>
      </c>
      <c r="DO22" s="249">
        <v>42808</v>
      </c>
      <c r="DP22" s="195"/>
      <c r="DQ22" s="127"/>
      <c r="DR22" s="127"/>
      <c r="DS22" s="128"/>
      <c r="DT22" s="128"/>
      <c r="DU22" s="128"/>
      <c r="DV22" s="589" t="str">
        <f t="shared" si="13"/>
        <v>0</v>
      </c>
      <c r="DW22" s="128"/>
      <c r="DX22" s="128"/>
      <c r="DY22" s="589" t="str">
        <f t="shared" si="14"/>
        <v>0</v>
      </c>
      <c r="DZ22" s="128"/>
      <c r="EA22" s="128"/>
      <c r="EB22" s="589" t="str">
        <f t="shared" si="15"/>
        <v>0</v>
      </c>
      <c r="EC22" s="128"/>
      <c r="ED22" s="128"/>
      <c r="EE22" s="589" t="str">
        <f t="shared" si="16"/>
        <v>0</v>
      </c>
      <c r="EF22" s="135"/>
      <c r="EG22" s="646"/>
      <c r="EH22" s="589" t="str">
        <f t="shared" si="17"/>
        <v>0</v>
      </c>
      <c r="EI22" s="245"/>
      <c r="EJ22" s="600"/>
      <c r="EK22" s="595"/>
      <c r="EL22" s="596" t="str">
        <f t="shared" si="18"/>
        <v>0</v>
      </c>
      <c r="EM22" s="600"/>
      <c r="EN22" s="595"/>
      <c r="EO22" s="596" t="str">
        <f t="shared" si="19"/>
        <v>0</v>
      </c>
      <c r="EP22" s="600"/>
      <c r="EQ22" s="595"/>
      <c r="ER22" s="596" t="str">
        <f t="shared" si="20"/>
        <v>0</v>
      </c>
      <c r="ES22" s="603"/>
      <c r="ET22" s="622"/>
      <c r="EU22" s="597" t="str">
        <f t="shared" si="21"/>
        <v>0</v>
      </c>
      <c r="EV22" s="598"/>
      <c r="EW22" s="599">
        <f ca="1">IF(EV22&lt;TODAY(),TODAY(),EV22)</f>
        <v>43163</v>
      </c>
      <c r="EX22" s="596" t="str">
        <f t="shared" ca="1" si="22"/>
        <v>0</v>
      </c>
      <c r="EY22" s="600"/>
      <c r="EZ22" s="600"/>
      <c r="FA22" s="596" t="str">
        <f t="shared" si="23"/>
        <v>0</v>
      </c>
      <c r="FB22" s="600"/>
      <c r="FC22" s="600"/>
      <c r="FD22" s="596" t="str">
        <f t="shared" si="24"/>
        <v>0</v>
      </c>
      <c r="FE22" s="600"/>
      <c r="FF22" s="600"/>
      <c r="FG22" s="596" t="str">
        <f t="shared" si="25"/>
        <v>0</v>
      </c>
      <c r="FH22" s="600"/>
      <c r="FI22" s="600"/>
      <c r="FJ22" s="596" t="str">
        <f t="shared" si="26"/>
        <v>0</v>
      </c>
      <c r="FK22" s="600"/>
      <c r="FL22" s="600"/>
      <c r="FM22" s="600"/>
      <c r="FN22" s="600"/>
      <c r="FO22" s="600"/>
      <c r="FP22" s="598">
        <f t="shared" si="27"/>
        <v>0</v>
      </c>
      <c r="FQ22" s="600"/>
      <c r="FR22" s="600">
        <f t="shared" si="60"/>
        <v>42286</v>
      </c>
      <c r="FS22" s="623"/>
      <c r="FT22" s="623"/>
      <c r="FU22" s="627"/>
      <c r="FV22" s="627"/>
      <c r="FW22" s="628">
        <f t="shared" si="28"/>
        <v>0</v>
      </c>
      <c r="FX22" s="628">
        <f t="shared" si="29"/>
        <v>1409.5333333333333</v>
      </c>
      <c r="FY22" s="624"/>
      <c r="FZ22" s="641" t="s">
        <v>857</v>
      </c>
      <c r="GA22" s="624"/>
      <c r="GB22" s="624"/>
      <c r="GC22" s="166"/>
      <c r="GD22" s="727">
        <v>1723671</v>
      </c>
      <c r="GE22" s="10">
        <v>2008085.62</v>
      </c>
      <c r="GF22" s="477">
        <f>GP22+GT22+HA22+HT22+HE22+GY22</f>
        <v>2108085.62</v>
      </c>
      <c r="GG22" s="12">
        <f t="shared" si="30"/>
        <v>100000</v>
      </c>
      <c r="GH22" s="12">
        <f t="shared" si="31"/>
        <v>2253.2392954103339</v>
      </c>
      <c r="GI22" s="12">
        <f t="shared" si="32"/>
        <v>210808.56200000001</v>
      </c>
      <c r="GJ22" s="10">
        <v>1672116</v>
      </c>
      <c r="GK22" s="11"/>
      <c r="GL22" s="12">
        <f t="shared" si="33"/>
        <v>-1672116</v>
      </c>
      <c r="GM22" s="137">
        <f t="shared" si="34"/>
        <v>0.85017810943738525</v>
      </c>
      <c r="GN22" s="138"/>
      <c r="GO22" s="10">
        <v>553441</v>
      </c>
      <c r="GP22" s="11">
        <v>553441</v>
      </c>
      <c r="GQ22" s="23">
        <f t="shared" si="35"/>
        <v>55344.1</v>
      </c>
      <c r="GR22" s="38">
        <f t="shared" si="36"/>
        <v>0</v>
      </c>
      <c r="GS22" s="10">
        <v>1110259</v>
      </c>
      <c r="GT22" s="11">
        <f t="shared" si="37"/>
        <v>1110259</v>
      </c>
      <c r="GU22" s="13">
        <v>257996</v>
      </c>
      <c r="GV22" s="13">
        <v>852263</v>
      </c>
      <c r="GW22" s="38">
        <f t="shared" si="38"/>
        <v>0</v>
      </c>
      <c r="GX22" s="23">
        <f t="shared" si="39"/>
        <v>111025.9</v>
      </c>
      <c r="GY22" s="11">
        <v>100000</v>
      </c>
      <c r="GZ22" s="10">
        <v>165000</v>
      </c>
      <c r="HA22" s="15">
        <v>165000</v>
      </c>
      <c r="HB22" s="69"/>
      <c r="HC22" s="41">
        <f t="shared" si="40"/>
        <v>7.8270065710139419E-2</v>
      </c>
      <c r="HD22" s="329"/>
      <c r="HE22" s="15">
        <v>0</v>
      </c>
      <c r="HF22" s="24">
        <f t="shared" ref="HF22:HF53" si="62">HA22-GZ22</f>
        <v>0</v>
      </c>
      <c r="HG22" s="23">
        <f t="shared" si="41"/>
        <v>16500</v>
      </c>
      <c r="HH22" s="52"/>
      <c r="HI22" s="24">
        <f t="shared" si="42"/>
        <v>0</v>
      </c>
      <c r="HJ22" s="51"/>
      <c r="HK22" s="51"/>
      <c r="HL22" s="40">
        <v>666201.89926500001</v>
      </c>
      <c r="HM22" s="40">
        <v>200000</v>
      </c>
      <c r="HN22" s="23">
        <f t="shared" si="43"/>
        <v>91844.1</v>
      </c>
      <c r="HO22" s="40">
        <v>206916.91</v>
      </c>
      <c r="HP22" s="23">
        <f t="shared" si="44"/>
        <v>112535.791</v>
      </c>
      <c r="HQ22" s="53">
        <f t="shared" si="45"/>
        <v>0.42322822103740099</v>
      </c>
      <c r="HR22" s="40">
        <v>115301.53</v>
      </c>
      <c r="HS22" s="482"/>
      <c r="HT22" s="483">
        <v>179385.62</v>
      </c>
      <c r="HU22" s="42">
        <f t="shared" si="46"/>
        <v>2774287.5192650002</v>
      </c>
      <c r="HV22" s="245"/>
      <c r="HW22" s="245">
        <f t="shared" si="47"/>
        <v>0</v>
      </c>
      <c r="HX22" s="119"/>
      <c r="HY22" s="245"/>
      <c r="HZ22" s="245"/>
      <c r="IA22" s="119"/>
      <c r="IB22" s="119"/>
      <c r="IC22" s="245"/>
      <c r="ID22" s="119"/>
      <c r="IE22" s="245"/>
      <c r="IF22" s="119"/>
      <c r="IG22" s="245"/>
      <c r="IH22" s="120"/>
      <c r="II22" s="350"/>
      <c r="IJ22" s="341"/>
      <c r="IK22" s="341"/>
      <c r="IL22" s="128"/>
      <c r="IM22" s="245"/>
      <c r="IN22" s="128"/>
      <c r="IO22" s="245"/>
      <c r="IP22" s="351"/>
      <c r="IQ22" s="351"/>
      <c r="IR22" s="351"/>
      <c r="IS22" s="351"/>
      <c r="IT22" s="289"/>
      <c r="IU22" s="289"/>
      <c r="IV22" s="289"/>
      <c r="IW22" s="289"/>
      <c r="IX22" s="289"/>
      <c r="IY22" s="289"/>
      <c r="IZ22" s="245"/>
      <c r="JA22" s="128"/>
      <c r="JB22" s="120"/>
      <c r="JC22" s="128"/>
      <c r="JD22" s="128"/>
      <c r="JE22" s="120"/>
    </row>
    <row r="23" spans="1:265" ht="107.25" customHeight="1">
      <c r="A23" s="86" t="s">
        <v>427</v>
      </c>
      <c r="B23" s="7" t="s">
        <v>35</v>
      </c>
      <c r="C23" s="7" t="s">
        <v>117</v>
      </c>
      <c r="D23" s="7">
        <v>2013</v>
      </c>
      <c r="E23" s="7" t="s">
        <v>36</v>
      </c>
      <c r="F23" s="7" t="s">
        <v>419</v>
      </c>
      <c r="G23" s="7" t="s">
        <v>189</v>
      </c>
      <c r="H23" s="7" t="s">
        <v>265</v>
      </c>
      <c r="I23" s="56"/>
      <c r="J23" s="56"/>
      <c r="K23" s="275"/>
      <c r="L23" s="173" t="s">
        <v>64</v>
      </c>
      <c r="M23" s="109"/>
      <c r="N23" s="110" t="s">
        <v>133</v>
      </c>
      <c r="O23" s="219">
        <v>2330</v>
      </c>
      <c r="P23" s="219">
        <f>Q23</f>
        <v>800000</v>
      </c>
      <c r="Q23" s="219">
        <v>800000</v>
      </c>
      <c r="R23" s="219">
        <f t="shared" si="51"/>
        <v>18181.81818181818</v>
      </c>
      <c r="S23" s="219">
        <f t="shared" si="52"/>
        <v>343.34763948497852</v>
      </c>
      <c r="T23" s="219">
        <f t="shared" si="53"/>
        <v>343.34763948497852</v>
      </c>
      <c r="U23" s="219">
        <f t="shared" si="54"/>
        <v>218.75076904567243</v>
      </c>
      <c r="V23" s="219">
        <f t="shared" si="55"/>
        <v>18181.81818181818</v>
      </c>
      <c r="W23" s="219">
        <f t="shared" si="56"/>
        <v>52.954545454545453</v>
      </c>
      <c r="X23" s="220"/>
      <c r="Y23" s="221">
        <f t="shared" si="57"/>
        <v>1.5695836909871246</v>
      </c>
      <c r="Z23" s="220" t="s">
        <v>203</v>
      </c>
      <c r="AA23" s="222">
        <v>580</v>
      </c>
      <c r="AB23" s="223"/>
      <c r="AC23" s="7" t="s">
        <v>15</v>
      </c>
      <c r="AD23" s="345">
        <f t="shared" si="0"/>
        <v>44</v>
      </c>
      <c r="AE23" s="7">
        <v>44</v>
      </c>
      <c r="AF23" s="8"/>
      <c r="AG23" s="67"/>
      <c r="AH23" s="67"/>
      <c r="AI23" s="9">
        <v>3666.81</v>
      </c>
      <c r="AJ23" s="85">
        <v>3657.13</v>
      </c>
      <c r="AK23" s="9">
        <f t="shared" si="1"/>
        <v>83.116590909090917</v>
      </c>
      <c r="AL23" s="81">
        <f>6/AD23</f>
        <v>0.13636363636363635</v>
      </c>
      <c r="AM23" s="81"/>
      <c r="AN23" s="81">
        <f>17/AE23</f>
        <v>0.38636363636363635</v>
      </c>
      <c r="AO23" s="81">
        <f>17/AD23</f>
        <v>0.38636363636363635</v>
      </c>
      <c r="AP23" s="81">
        <f>4/AD23</f>
        <v>9.0909090909090912E-2</v>
      </c>
      <c r="AQ23" s="9">
        <v>1428</v>
      </c>
      <c r="AR23" s="79">
        <v>0</v>
      </c>
      <c r="AS23" s="81">
        <f t="shared" si="58"/>
        <v>0</v>
      </c>
      <c r="AT23" s="60">
        <v>4</v>
      </c>
      <c r="AU23" s="59" t="s">
        <v>621</v>
      </c>
      <c r="AV23" s="7" t="s">
        <v>125</v>
      </c>
      <c r="AW23" s="56"/>
      <c r="AX23" s="196">
        <v>41348</v>
      </c>
      <c r="AY23" s="113" t="s">
        <v>12</v>
      </c>
      <c r="AZ23" s="113" t="s">
        <v>144</v>
      </c>
      <c r="BA23" s="469"/>
      <c r="BB23" s="216">
        <v>41446</v>
      </c>
      <c r="BC23" s="102"/>
      <c r="BD23" s="102">
        <v>41467</v>
      </c>
      <c r="BE23" s="216">
        <v>41500</v>
      </c>
      <c r="BF23" s="102"/>
      <c r="BG23" s="171">
        <v>41550</v>
      </c>
      <c r="BH23" s="214">
        <v>41576</v>
      </c>
      <c r="BI23" s="172">
        <f>DATE(YEAR(BH23),MONTH(BH23)+3,DAY(BH23))</f>
        <v>41668</v>
      </c>
      <c r="BJ23" s="172"/>
      <c r="BK23" s="323">
        <v>41659</v>
      </c>
      <c r="BL23" s="322">
        <f t="shared" si="2"/>
        <v>42389</v>
      </c>
      <c r="BM23" s="322">
        <f t="shared" si="3"/>
        <v>42755</v>
      </c>
      <c r="BN23" s="322" t="str">
        <f t="shared" si="61"/>
        <v>oui</v>
      </c>
      <c r="BO23" s="172"/>
      <c r="BP23" s="471" t="s">
        <v>187</v>
      </c>
      <c r="BQ23" s="103"/>
      <c r="BR23" s="104"/>
      <c r="BS23" s="107"/>
      <c r="BT23" s="107"/>
      <c r="BU23" s="167" t="s">
        <v>143</v>
      </c>
      <c r="BV23" s="333">
        <v>41626</v>
      </c>
      <c r="BW23" s="268"/>
      <c r="BX23" s="168">
        <v>6818520.4699999997</v>
      </c>
      <c r="BY23" s="174">
        <f t="shared" si="50"/>
        <v>42173</v>
      </c>
      <c r="BZ23" s="268">
        <f>DATE(YEAR(BV23),MONTH(BV23)+24,DAY(BV23))</f>
        <v>42356</v>
      </c>
      <c r="CA23" s="373">
        <v>41988</v>
      </c>
      <c r="CB23" s="268">
        <v>42398</v>
      </c>
      <c r="CC23" s="681">
        <f t="shared" si="59"/>
        <v>9.1</v>
      </c>
      <c r="CD23" s="511"/>
      <c r="CE23" s="380">
        <v>41766</v>
      </c>
      <c r="CF23" s="374">
        <v>2014</v>
      </c>
      <c r="CG23" s="495">
        <f t="shared" si="4"/>
        <v>10.666666666666666</v>
      </c>
      <c r="CH23" s="122">
        <v>15</v>
      </c>
      <c r="CI23" s="122">
        <f t="shared" si="5"/>
        <v>16</v>
      </c>
      <c r="CJ23" s="122">
        <f t="shared" si="6"/>
        <v>28</v>
      </c>
      <c r="CK23" s="122">
        <f t="shared" si="7"/>
        <v>29</v>
      </c>
      <c r="CL23" s="122">
        <f t="shared" si="8"/>
        <v>13</v>
      </c>
      <c r="CM23" s="122">
        <f t="shared" si="9"/>
        <v>13</v>
      </c>
      <c r="CN23" s="246">
        <v>27218</v>
      </c>
      <c r="CO23" s="246">
        <v>378325</v>
      </c>
      <c r="CP23" s="121">
        <v>42523</v>
      </c>
      <c r="CQ23" s="514">
        <f t="shared" si="11"/>
        <v>42223</v>
      </c>
      <c r="CR23" s="382">
        <v>42640</v>
      </c>
      <c r="CS23" s="386">
        <f>DATE(YEAR(CA23)+2,MONTH(CA23),DAY(CA23))</f>
        <v>42719</v>
      </c>
      <c r="CT23" s="349">
        <v>42745</v>
      </c>
      <c r="CU23" s="324">
        <v>42745</v>
      </c>
      <c r="CV23" s="703">
        <f>DATE(YEAR(CR23),MONTH(CR23)+1,DAY(CR23))</f>
        <v>42670</v>
      </c>
      <c r="CW23" s="390">
        <v>42671</v>
      </c>
      <c r="CX23" s="515">
        <v>2016</v>
      </c>
      <c r="CY23" s="121" t="s">
        <v>133</v>
      </c>
      <c r="CZ23" s="349" t="s">
        <v>133</v>
      </c>
      <c r="DA23" s="212">
        <v>42851</v>
      </c>
      <c r="DB23" s="343" t="s">
        <v>133</v>
      </c>
      <c r="DC23" s="343" t="s">
        <v>133</v>
      </c>
      <c r="DD23" s="255">
        <v>42912</v>
      </c>
      <c r="DE23" s="282" t="s">
        <v>589</v>
      </c>
      <c r="DF23" s="299">
        <f>DATE(YEAR(CR23)+1,MONTH(CR23),DAY(CR23))</f>
        <v>43005</v>
      </c>
      <c r="DG23" s="255">
        <v>42705</v>
      </c>
      <c r="DH23" s="255">
        <v>42873</v>
      </c>
      <c r="DI23" s="56"/>
      <c r="DJ23" s="56"/>
      <c r="DK23" s="56"/>
      <c r="DL23" s="56"/>
      <c r="DM23" s="56"/>
      <c r="DN23" s="56" t="s">
        <v>470</v>
      </c>
      <c r="DO23" s="193">
        <v>42955</v>
      </c>
      <c r="DP23" s="193">
        <v>43139</v>
      </c>
      <c r="DQ23" s="56"/>
      <c r="DR23" s="56"/>
      <c r="DS23" s="128"/>
      <c r="DT23" s="128"/>
      <c r="DU23" s="128"/>
      <c r="DV23" s="589" t="str">
        <f t="shared" si="13"/>
        <v>0</v>
      </c>
      <c r="DW23" s="128"/>
      <c r="DX23" s="128"/>
      <c r="DY23" s="589" t="str">
        <f t="shared" si="14"/>
        <v>0</v>
      </c>
      <c r="DZ23" s="128"/>
      <c r="EA23" s="128"/>
      <c r="EB23" s="589" t="str">
        <f t="shared" si="15"/>
        <v>0</v>
      </c>
      <c r="EC23" s="128"/>
      <c r="ED23" s="128"/>
      <c r="EE23" s="589" t="str">
        <f t="shared" si="16"/>
        <v>0</v>
      </c>
      <c r="EF23" s="135"/>
      <c r="EG23" s="646"/>
      <c r="EH23" s="589" t="str">
        <f t="shared" si="17"/>
        <v>0</v>
      </c>
      <c r="EI23" s="245"/>
      <c r="EJ23" s="128"/>
      <c r="EK23" s="245"/>
      <c r="EL23" s="589" t="str">
        <f t="shared" si="18"/>
        <v>0</v>
      </c>
      <c r="EM23" s="128"/>
      <c r="EN23" s="245"/>
      <c r="EO23" s="589" t="str">
        <f t="shared" si="19"/>
        <v>0</v>
      </c>
      <c r="EP23" s="128"/>
      <c r="EQ23" s="245"/>
      <c r="ER23" s="589" t="str">
        <f t="shared" si="20"/>
        <v>0</v>
      </c>
      <c r="ES23" s="648"/>
      <c r="ET23" s="644"/>
      <c r="EU23" s="593" t="str">
        <f t="shared" si="21"/>
        <v>0</v>
      </c>
      <c r="EV23" s="135"/>
      <c r="EW23" s="649">
        <f ca="1">IF(EV23&lt;TODAY(),TODAY(),EV23)</f>
        <v>43163</v>
      </c>
      <c r="EX23" s="589" t="str">
        <f t="shared" ca="1" si="22"/>
        <v>0</v>
      </c>
      <c r="EY23" s="245"/>
      <c r="EZ23" s="128"/>
      <c r="FA23" s="589" t="str">
        <f t="shared" si="23"/>
        <v>0</v>
      </c>
      <c r="FB23" s="120"/>
      <c r="FC23" s="120"/>
      <c r="FD23" s="589" t="str">
        <f t="shared" si="24"/>
        <v>0</v>
      </c>
      <c r="FE23" s="120"/>
      <c r="FF23" s="120"/>
      <c r="FG23" s="589" t="str">
        <f t="shared" si="25"/>
        <v>0</v>
      </c>
      <c r="FH23" s="128"/>
      <c r="FI23" s="128"/>
      <c r="FJ23" s="589" t="str">
        <f t="shared" si="26"/>
        <v>0</v>
      </c>
      <c r="FK23" s="120"/>
      <c r="FL23" s="120"/>
      <c r="FM23" s="120"/>
      <c r="FN23" s="602"/>
      <c r="FO23" s="600"/>
      <c r="FP23" s="598">
        <f t="shared" si="27"/>
        <v>0</v>
      </c>
      <c r="FQ23" s="602"/>
      <c r="FR23" s="602"/>
      <c r="FS23" s="623"/>
      <c r="FT23" s="623"/>
      <c r="FU23" s="627">
        <v>285000</v>
      </c>
      <c r="FV23" s="627"/>
      <c r="FW23" s="628">
        <f t="shared" si="28"/>
        <v>0</v>
      </c>
      <c r="FX23" s="628">
        <f t="shared" si="29"/>
        <v>0</v>
      </c>
      <c r="FY23" s="624"/>
      <c r="FZ23" s="641"/>
      <c r="GA23" s="624"/>
      <c r="GB23" s="624"/>
      <c r="GC23" s="114" t="s">
        <v>125</v>
      </c>
      <c r="GD23" s="723">
        <v>7150691</v>
      </c>
      <c r="GE23" s="10">
        <f t="shared" ref="GE23:GE31" si="63">+GO23+GS23+GZ23+HT23</f>
        <v>7322238.1426691692</v>
      </c>
      <c r="GF23" s="11">
        <f>GP23+GT23+HA23+HT23+HB23+HE23</f>
        <v>7319203.1426691692</v>
      </c>
      <c r="GG23" s="12">
        <f t="shared" si="30"/>
        <v>-3035</v>
      </c>
      <c r="GH23" s="12">
        <f t="shared" si="31"/>
        <v>1996.0682835132361</v>
      </c>
      <c r="GI23" s="12">
        <f t="shared" si="32"/>
        <v>166345.52596975386</v>
      </c>
      <c r="GJ23" s="670">
        <v>6405313</v>
      </c>
      <c r="GK23" s="11">
        <v>6413222</v>
      </c>
      <c r="GL23" s="12">
        <f t="shared" si="33"/>
        <v>7909</v>
      </c>
      <c r="GM23" s="137">
        <f t="shared" si="34"/>
        <v>0.89314557182867627</v>
      </c>
      <c r="GN23" s="138"/>
      <c r="GO23" s="10">
        <v>2389181</v>
      </c>
      <c r="GP23" s="11">
        <v>2438948</v>
      </c>
      <c r="GQ23" s="23">
        <f t="shared" si="35"/>
        <v>55430.63636363636</v>
      </c>
      <c r="GR23" s="38">
        <f t="shared" si="36"/>
        <v>49767</v>
      </c>
      <c r="GS23" s="10">
        <v>4761510</v>
      </c>
      <c r="GT23" s="11">
        <f t="shared" si="37"/>
        <v>4693223</v>
      </c>
      <c r="GU23" s="13">
        <v>982573</v>
      </c>
      <c r="GV23" s="13">
        <v>3710650</v>
      </c>
      <c r="GW23" s="38">
        <f t="shared" si="38"/>
        <v>-68287</v>
      </c>
      <c r="GX23" s="23">
        <f t="shared" si="39"/>
        <v>106664.15909090909</v>
      </c>
      <c r="GY23" s="11"/>
      <c r="GZ23" s="10">
        <v>1</v>
      </c>
      <c r="HA23" s="11">
        <v>1</v>
      </c>
      <c r="HB23" s="70"/>
      <c r="HC23" s="41">
        <f t="shared" si="40"/>
        <v>1.3662689510149595E-7</v>
      </c>
      <c r="HD23" s="329"/>
      <c r="HE23" s="11">
        <v>15485</v>
      </c>
      <c r="HF23" s="24">
        <f t="shared" si="62"/>
        <v>0</v>
      </c>
      <c r="HG23" s="23">
        <f t="shared" si="41"/>
        <v>2.2727272727272728E-2</v>
      </c>
      <c r="HH23" s="52"/>
      <c r="HI23" s="24">
        <f t="shared" si="42"/>
        <v>0</v>
      </c>
      <c r="HJ23" s="51"/>
      <c r="HK23" s="51"/>
      <c r="HL23" s="40"/>
      <c r="HM23" s="40"/>
      <c r="HN23" s="23">
        <f t="shared" si="43"/>
        <v>55430.659090909088</v>
      </c>
      <c r="HO23" s="40"/>
      <c r="HP23" s="23">
        <f t="shared" si="44"/>
        <v>55430.659090909088</v>
      </c>
      <c r="HQ23" s="53">
        <f t="shared" si="45"/>
        <v>0.33322602918089844</v>
      </c>
      <c r="HR23" s="40"/>
      <c r="HS23" s="40"/>
      <c r="HT23" s="483">
        <v>171546.14266916923</v>
      </c>
      <c r="HU23" s="42">
        <f t="shared" si="46"/>
        <v>7319203.1426691692</v>
      </c>
      <c r="HV23" s="245">
        <v>343148</v>
      </c>
      <c r="HW23" s="245">
        <f t="shared" si="47"/>
        <v>186489</v>
      </c>
      <c r="HX23" s="119">
        <v>41060</v>
      </c>
      <c r="HY23" s="245">
        <v>37298</v>
      </c>
      <c r="HZ23" s="245"/>
      <c r="IA23" s="119"/>
      <c r="IB23" s="119">
        <v>41324</v>
      </c>
      <c r="IC23" s="245">
        <v>18649</v>
      </c>
      <c r="ID23" s="119">
        <v>41262</v>
      </c>
      <c r="IE23" s="245">
        <v>37298</v>
      </c>
      <c r="IF23" s="119">
        <v>41396</v>
      </c>
      <c r="IG23" s="245">
        <v>37298</v>
      </c>
      <c r="IH23" s="120">
        <v>41547</v>
      </c>
      <c r="II23" s="350">
        <v>55946</v>
      </c>
      <c r="IJ23" s="341"/>
      <c r="IK23" s="341"/>
      <c r="IL23" s="128"/>
      <c r="IM23" s="245"/>
      <c r="IN23" s="128"/>
      <c r="IO23" s="245"/>
      <c r="IP23" s="120"/>
      <c r="IQ23" s="120"/>
      <c r="IR23" s="120"/>
      <c r="IS23" s="120"/>
      <c r="IT23" s="289"/>
      <c r="IU23" s="289"/>
      <c r="IV23" s="289"/>
      <c r="IW23" s="289"/>
      <c r="IX23" s="289"/>
      <c r="IY23" s="289"/>
      <c r="IZ23" s="245">
        <v>37298</v>
      </c>
      <c r="JA23" s="128"/>
      <c r="JB23" s="120"/>
      <c r="JC23" s="128"/>
      <c r="JD23" s="128"/>
      <c r="JE23" s="120"/>
    </row>
    <row r="24" spans="1:265" ht="31.5" customHeight="1">
      <c r="A24" s="25" t="s">
        <v>362</v>
      </c>
      <c r="B24" s="7" t="s">
        <v>48</v>
      </c>
      <c r="C24" s="7" t="s">
        <v>118</v>
      </c>
      <c r="D24" s="7">
        <v>2013</v>
      </c>
      <c r="E24" s="7" t="s">
        <v>49</v>
      </c>
      <c r="F24" s="7" t="s">
        <v>340</v>
      </c>
      <c r="G24" s="7" t="s">
        <v>188</v>
      </c>
      <c r="H24" s="7" t="s">
        <v>181</v>
      </c>
      <c r="I24" s="56"/>
      <c r="J24" s="56"/>
      <c r="K24" s="275"/>
      <c r="L24" s="173" t="s">
        <v>64</v>
      </c>
      <c r="M24" s="109"/>
      <c r="N24" s="110"/>
      <c r="O24" s="68"/>
      <c r="P24" s="68"/>
      <c r="Q24" s="68"/>
      <c r="R24" s="68"/>
      <c r="S24" s="68"/>
      <c r="T24" s="68"/>
      <c r="U24" s="68"/>
      <c r="V24" s="68"/>
      <c r="W24" s="68"/>
      <c r="X24" s="67"/>
      <c r="Y24" s="67"/>
      <c r="Z24" s="67"/>
      <c r="AA24" s="8"/>
      <c r="AB24" s="211"/>
      <c r="AC24" s="7" t="s">
        <v>16</v>
      </c>
      <c r="AD24" s="345">
        <f t="shared" si="0"/>
        <v>83</v>
      </c>
      <c r="AE24" s="8"/>
      <c r="AF24" s="7">
        <v>83</v>
      </c>
      <c r="AG24" s="56"/>
      <c r="AH24" s="56"/>
      <c r="AI24" s="9">
        <v>7367.96</v>
      </c>
      <c r="AJ24" s="85">
        <v>7367.66</v>
      </c>
      <c r="AK24" s="9">
        <f t="shared" si="1"/>
        <v>88.766987951807224</v>
      </c>
      <c r="AL24" s="81">
        <v>0</v>
      </c>
      <c r="AM24" s="81">
        <f>10/AF24</f>
        <v>0.12048192771084337</v>
      </c>
      <c r="AN24" s="81">
        <f>42/AF24</f>
        <v>0.50602409638554213</v>
      </c>
      <c r="AO24" s="81">
        <f>28/AF24</f>
        <v>0.33734939759036142</v>
      </c>
      <c r="AP24" s="81">
        <f>3/AF24</f>
        <v>3.614457831325301E-2</v>
      </c>
      <c r="AQ24" s="9"/>
      <c r="AR24" s="79"/>
      <c r="AS24" s="81" t="e">
        <f t="shared" si="58"/>
        <v>#DIV/0!</v>
      </c>
      <c r="AT24" s="60">
        <v>3.5</v>
      </c>
      <c r="AU24" s="59" t="s">
        <v>621</v>
      </c>
      <c r="AV24" s="7" t="s">
        <v>125</v>
      </c>
      <c r="AW24" s="196">
        <v>41170</v>
      </c>
      <c r="AX24" s="196">
        <v>41348</v>
      </c>
      <c r="AY24" s="113" t="s">
        <v>11</v>
      </c>
      <c r="AZ24" s="113" t="s">
        <v>255</v>
      </c>
      <c r="BA24" s="470">
        <v>415000</v>
      </c>
      <c r="BB24" s="216">
        <v>41463</v>
      </c>
      <c r="BC24" s="102"/>
      <c r="BD24" s="102">
        <v>41747</v>
      </c>
      <c r="BE24" s="216">
        <v>42160</v>
      </c>
      <c r="BF24" s="102"/>
      <c r="BG24" s="171">
        <v>42163</v>
      </c>
      <c r="BH24" s="214">
        <v>42171</v>
      </c>
      <c r="BI24" s="172">
        <v>42263</v>
      </c>
      <c r="BJ24" s="172">
        <v>42192</v>
      </c>
      <c r="BK24" s="323">
        <v>42255</v>
      </c>
      <c r="BL24" s="322">
        <f t="shared" si="2"/>
        <v>42986</v>
      </c>
      <c r="BM24" s="322">
        <f t="shared" si="3"/>
        <v>43351</v>
      </c>
      <c r="BN24" s="322" t="str">
        <f t="shared" si="61"/>
        <v>oui</v>
      </c>
      <c r="BO24" s="172" t="s">
        <v>133</v>
      </c>
      <c r="BP24" s="171" t="s">
        <v>384</v>
      </c>
      <c r="BQ24" s="103" t="s">
        <v>177</v>
      </c>
      <c r="BR24" s="104" t="s">
        <v>177</v>
      </c>
      <c r="BS24" s="107">
        <v>42398</v>
      </c>
      <c r="BT24" s="104" t="s">
        <v>177</v>
      </c>
      <c r="BU24" s="167"/>
      <c r="BV24" s="333">
        <v>42360</v>
      </c>
      <c r="BW24" s="268"/>
      <c r="BX24" s="168">
        <v>18979814</v>
      </c>
      <c r="BY24" s="174">
        <f t="shared" si="50"/>
        <v>42908</v>
      </c>
      <c r="BZ24" s="268">
        <f>DATE(YEAR(BV24),MONTH(BV24)+24,DAY(BV24))</f>
        <v>43091</v>
      </c>
      <c r="CA24" s="373"/>
      <c r="CB24" s="450"/>
      <c r="CC24" s="682"/>
      <c r="CD24" s="511"/>
      <c r="CE24" s="380">
        <v>42139</v>
      </c>
      <c r="CF24" s="376">
        <v>2015</v>
      </c>
      <c r="CG24" s="496">
        <f t="shared" si="4"/>
        <v>22.533333333333335</v>
      </c>
      <c r="CH24" s="261">
        <v>24</v>
      </c>
      <c r="CI24" s="261">
        <f t="shared" si="5"/>
        <v>25</v>
      </c>
      <c r="CJ24" s="257">
        <f t="shared" si="6"/>
        <v>29</v>
      </c>
      <c r="CK24" s="257">
        <f t="shared" si="7"/>
        <v>30</v>
      </c>
      <c r="CL24" s="257">
        <f t="shared" si="8"/>
        <v>5</v>
      </c>
      <c r="CM24" s="257">
        <f t="shared" si="9"/>
        <v>5</v>
      </c>
      <c r="CN24" s="247">
        <f>457276.500186631/12</f>
        <v>38106.375015552585</v>
      </c>
      <c r="CO24" s="247">
        <f t="shared" ref="CO24:CO35" si="64">CN24*(CJ24-CH24)</f>
        <v>190531.87507776293</v>
      </c>
      <c r="CP24" s="250">
        <v>42712</v>
      </c>
      <c r="CQ24" s="652">
        <f t="shared" si="11"/>
        <v>42870</v>
      </c>
      <c r="CR24" s="446">
        <v>43038</v>
      </c>
      <c r="CS24" s="731">
        <f>DATE(YEAR(CA24)+2,MONTH(CA24),DAY(CA24))</f>
        <v>731</v>
      </c>
      <c r="CT24" s="343">
        <v>43075</v>
      </c>
      <c r="CU24" s="250"/>
      <c r="CV24" s="697">
        <v>43066</v>
      </c>
      <c r="CW24" s="672">
        <v>43068</v>
      </c>
      <c r="CX24" s="515">
        <v>2017</v>
      </c>
      <c r="CY24" s="343">
        <v>42978</v>
      </c>
      <c r="CZ24" s="127"/>
      <c r="DA24" s="127" t="s">
        <v>747</v>
      </c>
      <c r="DB24" s="127"/>
      <c r="DC24" s="127"/>
      <c r="DD24" s="127"/>
      <c r="DE24" s="56"/>
      <c r="DF24" s="56"/>
      <c r="DG24" s="127"/>
      <c r="DH24" s="127"/>
      <c r="DI24" s="127"/>
      <c r="DJ24" s="127"/>
      <c r="DK24" s="56"/>
      <c r="DL24" s="56"/>
      <c r="DM24" s="56"/>
      <c r="DN24" s="196"/>
      <c r="DO24" s="56" t="s">
        <v>729</v>
      </c>
      <c r="DP24" s="56"/>
      <c r="DQ24" s="56"/>
      <c r="DR24" s="56"/>
      <c r="DS24" s="128"/>
      <c r="DT24" s="120"/>
      <c r="DU24" s="120"/>
      <c r="DV24" s="589" t="str">
        <f t="shared" si="13"/>
        <v>0</v>
      </c>
      <c r="DW24" s="128"/>
      <c r="DX24" s="128"/>
      <c r="DY24" s="589" t="str">
        <f t="shared" si="14"/>
        <v>0</v>
      </c>
      <c r="DZ24" s="135"/>
      <c r="EA24" s="128"/>
      <c r="EB24" s="589" t="str">
        <f t="shared" si="15"/>
        <v>0</v>
      </c>
      <c r="EC24" s="135"/>
      <c r="ED24" s="128"/>
      <c r="EE24" s="589" t="str">
        <f t="shared" si="16"/>
        <v>0</v>
      </c>
      <c r="EF24" s="135"/>
      <c r="EG24" s="646"/>
      <c r="EH24" s="589" t="str">
        <f t="shared" si="17"/>
        <v>0</v>
      </c>
      <c r="EI24" s="245"/>
      <c r="EJ24" s="128"/>
      <c r="EK24" s="245"/>
      <c r="EL24" s="589" t="str">
        <f t="shared" si="18"/>
        <v>0</v>
      </c>
      <c r="EM24" s="128"/>
      <c r="EN24" s="245"/>
      <c r="EO24" s="589" t="str">
        <f t="shared" si="19"/>
        <v>0</v>
      </c>
      <c r="EP24" s="128"/>
      <c r="EQ24" s="245"/>
      <c r="ER24" s="589" t="str">
        <f t="shared" si="20"/>
        <v>0</v>
      </c>
      <c r="ES24" s="648"/>
      <c r="ET24" s="644"/>
      <c r="EU24" s="593" t="str">
        <f t="shared" si="21"/>
        <v>0</v>
      </c>
      <c r="EV24" s="135"/>
      <c r="EW24" s="649"/>
      <c r="EX24" s="589" t="str">
        <f t="shared" si="22"/>
        <v>0</v>
      </c>
      <c r="EY24" s="245"/>
      <c r="EZ24" s="128"/>
      <c r="FA24" s="589" t="str">
        <f t="shared" si="23"/>
        <v>0</v>
      </c>
      <c r="FB24" s="120"/>
      <c r="FC24" s="120"/>
      <c r="FD24" s="589" t="str">
        <f t="shared" si="24"/>
        <v>0</v>
      </c>
      <c r="FE24" s="120"/>
      <c r="FF24" s="120"/>
      <c r="FG24" s="589" t="str">
        <f t="shared" si="25"/>
        <v>0</v>
      </c>
      <c r="FH24" s="120"/>
      <c r="FI24" s="120"/>
      <c r="FJ24" s="589" t="str">
        <f t="shared" si="26"/>
        <v>0</v>
      </c>
      <c r="FK24" s="120"/>
      <c r="FL24" s="120"/>
      <c r="FM24" s="120"/>
      <c r="FN24" s="602"/>
      <c r="FO24" s="600"/>
      <c r="FP24" s="598">
        <f t="shared" si="27"/>
        <v>0</v>
      </c>
      <c r="FQ24" s="602"/>
      <c r="FR24" s="600">
        <f>CW24</f>
        <v>43068</v>
      </c>
      <c r="FS24" s="623"/>
      <c r="FT24" s="623"/>
      <c r="FU24" s="627"/>
      <c r="FV24" s="627"/>
      <c r="FW24" s="628">
        <f t="shared" si="28"/>
        <v>0</v>
      </c>
      <c r="FX24" s="628">
        <f t="shared" si="29"/>
        <v>1435.6</v>
      </c>
      <c r="FY24" s="624"/>
      <c r="FZ24" s="641"/>
      <c r="GA24" s="624"/>
      <c r="GB24" s="624"/>
      <c r="GC24" s="114" t="s">
        <v>125</v>
      </c>
      <c r="GD24" s="723">
        <v>14323815</v>
      </c>
      <c r="GE24" s="10">
        <f t="shared" si="63"/>
        <v>14323814</v>
      </c>
      <c r="GF24" s="11">
        <f>GP24+GT24+HA24+HT24+HB24</f>
        <v>14364754</v>
      </c>
      <c r="GG24" s="12">
        <f t="shared" si="30"/>
        <v>40940</v>
      </c>
      <c r="GH24" s="12">
        <f t="shared" si="31"/>
        <v>1949.6243193502678</v>
      </c>
      <c r="GI24" s="12">
        <f t="shared" si="32"/>
        <v>173069.32530120481</v>
      </c>
      <c r="GJ24" s="10">
        <v>13043765</v>
      </c>
      <c r="GK24" s="11">
        <v>12989943</v>
      </c>
      <c r="GL24" s="12">
        <f t="shared" si="33"/>
        <v>-53822</v>
      </c>
      <c r="GM24" s="137">
        <f t="shared" si="34"/>
        <v>0.92975823792461976</v>
      </c>
      <c r="GN24" s="138"/>
      <c r="GO24" s="10">
        <v>4234760</v>
      </c>
      <c r="GP24" s="11">
        <v>4422509</v>
      </c>
      <c r="GQ24" s="23">
        <f t="shared" si="35"/>
        <v>53283.240963855424</v>
      </c>
      <c r="GR24" s="38">
        <f t="shared" si="36"/>
        <v>187749</v>
      </c>
      <c r="GS24" s="10">
        <v>8429054</v>
      </c>
      <c r="GT24" s="11">
        <f t="shared" si="37"/>
        <v>8282245</v>
      </c>
      <c r="GU24" s="13">
        <v>1278025</v>
      </c>
      <c r="GV24" s="13">
        <v>7004220</v>
      </c>
      <c r="GW24" s="38">
        <f t="shared" si="38"/>
        <v>-146809</v>
      </c>
      <c r="GX24" s="23">
        <f t="shared" si="39"/>
        <v>99786.084337349399</v>
      </c>
      <c r="GY24" s="11"/>
      <c r="GZ24" s="10">
        <v>1660000</v>
      </c>
      <c r="HA24" s="11">
        <v>1245000</v>
      </c>
      <c r="HB24" s="70">
        <v>415000</v>
      </c>
      <c r="HC24" s="41">
        <f t="shared" si="40"/>
        <v>8.6670471349526768E-2</v>
      </c>
      <c r="HD24" s="329"/>
      <c r="HE24" s="11">
        <v>0</v>
      </c>
      <c r="HF24" s="24">
        <f t="shared" si="62"/>
        <v>-415000</v>
      </c>
      <c r="HG24" s="23">
        <f t="shared" si="41"/>
        <v>15000</v>
      </c>
      <c r="HH24" s="52"/>
      <c r="HI24" s="24">
        <f t="shared" si="42"/>
        <v>-5000</v>
      </c>
      <c r="HJ24" s="51"/>
      <c r="HK24" s="51"/>
      <c r="HL24" s="40">
        <v>2467086.73961312</v>
      </c>
      <c r="HM24" s="40">
        <v>1660000</v>
      </c>
      <c r="HN24" s="23">
        <f t="shared" si="43"/>
        <v>88283.240963855424</v>
      </c>
      <c r="HO24" s="40">
        <v>0</v>
      </c>
      <c r="HP24" s="23">
        <f t="shared" si="44"/>
        <v>88283.240963855424</v>
      </c>
      <c r="HQ24" s="53">
        <f t="shared" si="45"/>
        <v>0.45620980509805781</v>
      </c>
      <c r="HR24" s="40">
        <v>770132.02990000008</v>
      </c>
      <c r="HS24" s="40"/>
      <c r="HT24" s="11">
        <v>0</v>
      </c>
      <c r="HU24" s="42">
        <f t="shared" si="46"/>
        <v>16831840.73961312</v>
      </c>
      <c r="HV24" s="245">
        <v>965006</v>
      </c>
      <c r="HW24" s="245">
        <f t="shared" si="47"/>
        <v>0</v>
      </c>
      <c r="HX24" s="119"/>
      <c r="HY24" s="245"/>
      <c r="HZ24" s="245"/>
      <c r="IA24" s="119"/>
      <c r="IB24" s="119"/>
      <c r="IC24" s="245"/>
      <c r="ID24" s="119"/>
      <c r="IE24" s="245"/>
      <c r="IF24" s="119"/>
      <c r="IG24" s="245"/>
      <c r="IH24" s="120"/>
      <c r="II24" s="350"/>
      <c r="IJ24" s="341"/>
      <c r="IK24" s="341"/>
      <c r="IL24" s="128"/>
      <c r="IM24" s="245"/>
      <c r="IN24" s="128"/>
      <c r="IO24" s="245"/>
      <c r="IP24" s="120"/>
      <c r="IQ24" s="120"/>
      <c r="IR24" s="120"/>
      <c r="IS24" s="120"/>
      <c r="IT24" s="289"/>
      <c r="IU24" s="289"/>
      <c r="IV24" s="289"/>
      <c r="IW24" s="289"/>
      <c r="IX24" s="289"/>
      <c r="IY24" s="289"/>
      <c r="IZ24" s="245"/>
      <c r="JA24" s="128"/>
      <c r="JB24" s="120"/>
      <c r="JC24" s="128"/>
      <c r="JD24" s="128"/>
      <c r="JE24" s="120"/>
    </row>
    <row r="25" spans="1:265" ht="24.95" customHeight="1">
      <c r="A25" s="25" t="s">
        <v>45</v>
      </c>
      <c r="B25" s="7" t="s">
        <v>46</v>
      </c>
      <c r="C25" s="7" t="s">
        <v>117</v>
      </c>
      <c r="D25" s="7">
        <v>2013</v>
      </c>
      <c r="E25" s="7" t="s">
        <v>47</v>
      </c>
      <c r="F25" s="7" t="s">
        <v>419</v>
      </c>
      <c r="G25" s="7" t="s">
        <v>697</v>
      </c>
      <c r="H25" s="7" t="s">
        <v>181</v>
      </c>
      <c r="I25" s="81"/>
      <c r="J25" s="56"/>
      <c r="K25" s="275"/>
      <c r="L25" s="460" t="s">
        <v>63</v>
      </c>
      <c r="M25" s="460" t="s">
        <v>70</v>
      </c>
      <c r="N25" s="669">
        <v>41591</v>
      </c>
      <c r="O25" s="219">
        <v>1547</v>
      </c>
      <c r="P25" s="219">
        <f>Q25</f>
        <v>259906</v>
      </c>
      <c r="Q25" s="219">
        <v>259906</v>
      </c>
      <c r="R25" s="219">
        <f>P25/AD25</f>
        <v>14439.222222222223</v>
      </c>
      <c r="S25" s="219">
        <f>P25/O25</f>
        <v>168.00646412411118</v>
      </c>
      <c r="T25" s="219">
        <f>Q25/O25</f>
        <v>168.00646412411118</v>
      </c>
      <c r="U25" s="219">
        <f>Q25/AJ25</f>
        <v>196.37036757205999</v>
      </c>
      <c r="V25" s="219">
        <f>Q25/AD25</f>
        <v>14439.222222222223</v>
      </c>
      <c r="W25" s="219">
        <f>O25/AD25</f>
        <v>85.944444444444443</v>
      </c>
      <c r="X25" s="220">
        <v>836</v>
      </c>
      <c r="Y25" s="221">
        <f>AJ25/O25</f>
        <v>0.85555914673561728</v>
      </c>
      <c r="Z25" s="220" t="s">
        <v>203</v>
      </c>
      <c r="AA25" s="222">
        <v>383</v>
      </c>
      <c r="AB25" s="223">
        <v>0</v>
      </c>
      <c r="AC25" s="7" t="s">
        <v>16</v>
      </c>
      <c r="AD25" s="345">
        <f t="shared" si="0"/>
        <v>18</v>
      </c>
      <c r="AE25" s="8"/>
      <c r="AF25" s="7">
        <v>18</v>
      </c>
      <c r="AG25" s="56"/>
      <c r="AH25" s="56"/>
      <c r="AI25" s="9">
        <f>1340.98-1283.18*0</f>
        <v>1340.98</v>
      </c>
      <c r="AJ25" s="85">
        <v>1323.55</v>
      </c>
      <c r="AK25" s="9">
        <f t="shared" si="1"/>
        <v>73.530555555555551</v>
      </c>
      <c r="AL25" s="62"/>
      <c r="AM25" s="62"/>
      <c r="AN25" s="62"/>
      <c r="AO25" s="62"/>
      <c r="AP25" s="62"/>
      <c r="AQ25" s="9"/>
      <c r="AR25" s="79">
        <v>0</v>
      </c>
      <c r="AS25" s="81">
        <f t="shared" si="58"/>
        <v>0</v>
      </c>
      <c r="AT25" s="60">
        <v>3.5</v>
      </c>
      <c r="AU25" s="59" t="s">
        <v>621</v>
      </c>
      <c r="AV25" s="7" t="s">
        <v>125</v>
      </c>
      <c r="AW25" s="201">
        <v>41313</v>
      </c>
      <c r="AX25" s="196">
        <v>41348</v>
      </c>
      <c r="AY25" s="113" t="s">
        <v>11</v>
      </c>
      <c r="AZ25" s="113" t="s">
        <v>150</v>
      </c>
      <c r="BA25" s="469"/>
      <c r="BB25" s="216">
        <v>41463</v>
      </c>
      <c r="BC25" s="102"/>
      <c r="BD25" s="102">
        <v>41514</v>
      </c>
      <c r="BE25" s="216">
        <v>41515</v>
      </c>
      <c r="BF25" s="102"/>
      <c r="BG25" s="171">
        <v>41549</v>
      </c>
      <c r="BH25" s="214">
        <v>41576</v>
      </c>
      <c r="BI25" s="172">
        <f t="shared" ref="BI25:BI30" si="65">DATE(YEAR(BH25),MONTH(BH25)+3,DAY(BH25))</f>
        <v>41668</v>
      </c>
      <c r="BJ25" s="172"/>
      <c r="BK25" s="323">
        <v>41659</v>
      </c>
      <c r="BL25" s="322">
        <f t="shared" si="2"/>
        <v>42389</v>
      </c>
      <c r="BM25" s="322">
        <f t="shared" si="3"/>
        <v>42755</v>
      </c>
      <c r="BN25" s="322" t="str">
        <f t="shared" si="61"/>
        <v>oui</v>
      </c>
      <c r="BO25" s="172"/>
      <c r="BP25" s="471" t="s">
        <v>187</v>
      </c>
      <c r="BQ25" s="103"/>
      <c r="BR25" s="104"/>
      <c r="BS25" s="107"/>
      <c r="BT25" s="107"/>
      <c r="BU25" s="174" t="s">
        <v>149</v>
      </c>
      <c r="BV25" s="333">
        <v>41625</v>
      </c>
      <c r="BW25" s="268"/>
      <c r="BX25" s="168">
        <v>2595669.38</v>
      </c>
      <c r="BY25" s="174">
        <f t="shared" si="50"/>
        <v>42172</v>
      </c>
      <c r="BZ25" s="268"/>
      <c r="CA25" s="373">
        <v>42153</v>
      </c>
      <c r="CB25" s="268">
        <v>42475</v>
      </c>
      <c r="CC25" s="681">
        <f>(CW25-CB25)/30</f>
        <v>19.8</v>
      </c>
      <c r="CD25" s="511"/>
      <c r="CE25" s="380">
        <v>41751</v>
      </c>
      <c r="CF25" s="374">
        <v>2014</v>
      </c>
      <c r="CG25" s="495">
        <f t="shared" si="4"/>
        <v>9.6</v>
      </c>
      <c r="CH25" s="122">
        <v>15</v>
      </c>
      <c r="CI25" s="130">
        <f t="shared" si="5"/>
        <v>16</v>
      </c>
      <c r="CJ25" s="257">
        <f t="shared" si="6"/>
        <v>42</v>
      </c>
      <c r="CK25" s="257">
        <f t="shared" si="7"/>
        <v>43</v>
      </c>
      <c r="CL25" s="257">
        <f t="shared" si="8"/>
        <v>27</v>
      </c>
      <c r="CM25" s="257">
        <f t="shared" si="9"/>
        <v>27</v>
      </c>
      <c r="CN25" s="247">
        <f>86289.3386701777/12</f>
        <v>7190.7782225148085</v>
      </c>
      <c r="CO25" s="247">
        <f t="shared" si="64"/>
        <v>194151.01200789982</v>
      </c>
      <c r="CP25" s="250">
        <v>42382</v>
      </c>
      <c r="CQ25" s="652">
        <f t="shared" si="11"/>
        <v>42207</v>
      </c>
      <c r="CR25" s="446">
        <v>43054</v>
      </c>
      <c r="CS25" s="387">
        <f>DATE(YEAR(CA25)+2,MONTH(CA25),DAY(CA25))</f>
        <v>42884</v>
      </c>
      <c r="CT25" s="121">
        <v>43082</v>
      </c>
      <c r="CU25" s="131"/>
      <c r="CV25" s="673">
        <v>43059</v>
      </c>
      <c r="CW25" s="706">
        <v>43069</v>
      </c>
      <c r="CX25" s="376">
        <v>2017</v>
      </c>
      <c r="CY25" s="343">
        <v>42999</v>
      </c>
      <c r="CZ25" s="199"/>
      <c r="DA25" s="199"/>
      <c r="DB25" s="199"/>
      <c r="DC25" s="199"/>
      <c r="DD25" s="199"/>
      <c r="DE25" s="81"/>
      <c r="DF25" s="81"/>
      <c r="DG25" s="734">
        <v>43151</v>
      </c>
      <c r="DH25" s="734">
        <v>43157</v>
      </c>
      <c r="DI25" s="199"/>
      <c r="DJ25" s="199"/>
      <c r="DK25" s="81"/>
      <c r="DL25" s="81"/>
      <c r="DM25" s="81"/>
      <c r="DN25" s="196"/>
      <c r="DO25" s="56" t="s">
        <v>729</v>
      </c>
      <c r="DP25" s="81"/>
      <c r="DQ25" s="81"/>
      <c r="DR25" s="81"/>
      <c r="DS25" s="128"/>
      <c r="DT25" s="128"/>
      <c r="DU25" s="128"/>
      <c r="DV25" s="589" t="str">
        <f t="shared" si="13"/>
        <v>0</v>
      </c>
      <c r="DW25" s="128"/>
      <c r="DX25" s="128"/>
      <c r="DY25" s="589" t="str">
        <f t="shared" si="14"/>
        <v>0</v>
      </c>
      <c r="DZ25" s="128"/>
      <c r="EA25" s="128"/>
      <c r="EB25" s="589" t="str">
        <f t="shared" si="15"/>
        <v>0</v>
      </c>
      <c r="EC25" s="128"/>
      <c r="ED25" s="128"/>
      <c r="EE25" s="589" t="str">
        <f t="shared" si="16"/>
        <v>0</v>
      </c>
      <c r="EF25" s="135"/>
      <c r="EG25" s="646"/>
      <c r="EH25" s="589" t="str">
        <f t="shared" si="17"/>
        <v>0</v>
      </c>
      <c r="EI25" s="245"/>
      <c r="EJ25" s="128"/>
      <c r="EK25" s="245"/>
      <c r="EL25" s="589" t="str">
        <f t="shared" si="18"/>
        <v>0</v>
      </c>
      <c r="EM25" s="128"/>
      <c r="EN25" s="245"/>
      <c r="EO25" s="589" t="str">
        <f t="shared" si="19"/>
        <v>0</v>
      </c>
      <c r="EP25" s="128"/>
      <c r="EQ25" s="245"/>
      <c r="ER25" s="589" t="str">
        <f t="shared" si="20"/>
        <v>0</v>
      </c>
      <c r="ES25" s="648"/>
      <c r="ET25" s="644"/>
      <c r="EU25" s="593" t="str">
        <f t="shared" si="21"/>
        <v>0</v>
      </c>
      <c r="EV25" s="135"/>
      <c r="EW25" s="649"/>
      <c r="EX25" s="589" t="str">
        <f t="shared" si="22"/>
        <v>0</v>
      </c>
      <c r="EY25" s="128"/>
      <c r="EZ25" s="128"/>
      <c r="FA25" s="589" t="str">
        <f t="shared" si="23"/>
        <v>0</v>
      </c>
      <c r="FB25" s="128"/>
      <c r="FC25" s="128"/>
      <c r="FD25" s="589" t="str">
        <f t="shared" si="24"/>
        <v>0</v>
      </c>
      <c r="FE25" s="128"/>
      <c r="FF25" s="128"/>
      <c r="FG25" s="589" t="str">
        <f t="shared" si="25"/>
        <v>0</v>
      </c>
      <c r="FH25" s="128"/>
      <c r="FI25" s="128"/>
      <c r="FJ25" s="589" t="str">
        <f t="shared" si="26"/>
        <v>0</v>
      </c>
      <c r="FK25" s="128"/>
      <c r="FL25" s="128"/>
      <c r="FM25" s="128"/>
      <c r="FN25" s="600"/>
      <c r="FO25" s="600"/>
      <c r="FP25" s="598">
        <f t="shared" si="27"/>
        <v>0</v>
      </c>
      <c r="FQ25" s="600"/>
      <c r="FR25" s="600"/>
      <c r="FS25" s="623"/>
      <c r="FT25" s="623"/>
      <c r="FU25" s="627"/>
      <c r="FV25" s="627"/>
      <c r="FW25" s="628">
        <f t="shared" si="28"/>
        <v>0</v>
      </c>
      <c r="FX25" s="628">
        <f t="shared" si="29"/>
        <v>0</v>
      </c>
      <c r="FY25" s="624"/>
      <c r="FZ25" s="641" t="s">
        <v>860</v>
      </c>
      <c r="GA25" s="624"/>
      <c r="GB25" s="624"/>
      <c r="GC25" s="114" t="s">
        <v>125</v>
      </c>
      <c r="GD25" s="723">
        <v>2715924</v>
      </c>
      <c r="GE25" s="10">
        <f t="shared" si="63"/>
        <v>3404922.2556957966</v>
      </c>
      <c r="GF25" s="11">
        <f>GP25+GT25+HA25+HT25+HB25+HE25</f>
        <v>3348225.2556957966</v>
      </c>
      <c r="GG25" s="12">
        <f t="shared" si="30"/>
        <v>-56697</v>
      </c>
      <c r="GH25" s="12">
        <f t="shared" si="31"/>
        <v>2496.8495098329554</v>
      </c>
      <c r="GI25" s="12">
        <f t="shared" si="32"/>
        <v>186012.51420532202</v>
      </c>
      <c r="GJ25" s="10">
        <v>2383274</v>
      </c>
      <c r="GK25" s="11">
        <v>2329832</v>
      </c>
      <c r="GL25" s="12">
        <f t="shared" si="33"/>
        <v>-53442</v>
      </c>
      <c r="GM25" s="137">
        <f t="shared" si="34"/>
        <v>0.71464855032431562</v>
      </c>
      <c r="GN25" s="138"/>
      <c r="GO25" s="10">
        <v>717900</v>
      </c>
      <c r="GP25" s="11">
        <v>736924</v>
      </c>
      <c r="GQ25" s="23">
        <f t="shared" si="35"/>
        <v>40940.222222222219</v>
      </c>
      <c r="GR25" s="38">
        <f t="shared" si="36"/>
        <v>19024</v>
      </c>
      <c r="GS25" s="10">
        <v>1504024</v>
      </c>
      <c r="GT25" s="11">
        <f t="shared" si="37"/>
        <v>1490303</v>
      </c>
      <c r="GU25" s="13">
        <v>341701</v>
      </c>
      <c r="GV25" s="13">
        <v>1148602</v>
      </c>
      <c r="GW25" s="38">
        <f t="shared" si="38"/>
        <v>-13721</v>
      </c>
      <c r="GX25" s="23">
        <f t="shared" si="39"/>
        <v>82794.611111111109</v>
      </c>
      <c r="GY25" s="11"/>
      <c r="GZ25" s="10">
        <v>494000</v>
      </c>
      <c r="HA25" s="11">
        <v>432000</v>
      </c>
      <c r="HB25" s="70"/>
      <c r="HC25" s="41">
        <f t="shared" si="40"/>
        <v>0.12902357727130453</v>
      </c>
      <c r="HD25" s="329"/>
      <c r="HE25" s="11">
        <v>0</v>
      </c>
      <c r="HF25" s="24">
        <f t="shared" si="62"/>
        <v>-62000</v>
      </c>
      <c r="HG25" s="23">
        <f t="shared" si="41"/>
        <v>24000</v>
      </c>
      <c r="HH25" s="52"/>
      <c r="HI25" s="24">
        <f t="shared" si="42"/>
        <v>-3444.4444444444443</v>
      </c>
      <c r="HJ25" s="51"/>
      <c r="HK25" s="51"/>
      <c r="HL25" s="40">
        <v>0</v>
      </c>
      <c r="HM25" s="40">
        <v>0</v>
      </c>
      <c r="HN25" s="23">
        <f t="shared" si="43"/>
        <v>64940.222222222219</v>
      </c>
      <c r="HO25" s="40">
        <v>0</v>
      </c>
      <c r="HP25" s="23">
        <f t="shared" si="44"/>
        <v>64940.222222222219</v>
      </c>
      <c r="HQ25" s="53">
        <f t="shared" si="45"/>
        <v>0.34911749082935739</v>
      </c>
      <c r="HR25" s="40"/>
      <c r="HS25" s="40"/>
      <c r="HT25" s="483">
        <v>688998.25569579669</v>
      </c>
      <c r="HU25" s="99">
        <f t="shared" si="46"/>
        <v>3348225.2556957966</v>
      </c>
      <c r="HV25" s="245">
        <v>149910</v>
      </c>
      <c r="HW25" s="245">
        <f t="shared" si="47"/>
        <v>66209</v>
      </c>
      <c r="HX25" s="119">
        <v>41257</v>
      </c>
      <c r="HY25" s="245">
        <v>14755</v>
      </c>
      <c r="HZ25" s="245"/>
      <c r="IA25" s="119"/>
      <c r="IB25" s="119">
        <v>41373</v>
      </c>
      <c r="IC25" s="245">
        <v>4453</v>
      </c>
      <c r="ID25" s="119">
        <v>41311</v>
      </c>
      <c r="IE25" s="245">
        <v>14755</v>
      </c>
      <c r="IF25" s="119">
        <v>41453</v>
      </c>
      <c r="IG25" s="245">
        <v>12951</v>
      </c>
      <c r="IH25" s="120">
        <v>41514</v>
      </c>
      <c r="II25" s="350">
        <v>19295</v>
      </c>
      <c r="IJ25" s="341"/>
      <c r="IK25" s="341"/>
      <c r="IL25" s="128"/>
      <c r="IM25" s="245"/>
      <c r="IN25" s="128"/>
      <c r="IO25" s="245"/>
      <c r="IP25" s="120"/>
      <c r="IQ25" s="120"/>
      <c r="IR25" s="120"/>
      <c r="IS25" s="120"/>
      <c r="IT25" s="289"/>
      <c r="IU25" s="289"/>
      <c r="IV25" s="289"/>
      <c r="IW25" s="289"/>
      <c r="IX25" s="289"/>
      <c r="IY25" s="289"/>
      <c r="IZ25" s="245">
        <v>14755</v>
      </c>
      <c r="JA25" s="128"/>
      <c r="JB25" s="120"/>
      <c r="JC25" s="128"/>
      <c r="JD25" s="128"/>
      <c r="JE25" s="120"/>
    </row>
    <row r="26" spans="1:265" ht="24.95" customHeight="1">
      <c r="A26" s="25" t="s">
        <v>361</v>
      </c>
      <c r="B26" s="7" t="s">
        <v>34</v>
      </c>
      <c r="C26" s="7" t="s">
        <v>118</v>
      </c>
      <c r="D26" s="7">
        <v>2013</v>
      </c>
      <c r="E26" s="7" t="s">
        <v>51</v>
      </c>
      <c r="F26" s="7" t="s">
        <v>340</v>
      </c>
      <c r="G26" s="6"/>
      <c r="H26" s="7"/>
      <c r="I26" s="56"/>
      <c r="J26" s="56" t="s">
        <v>414</v>
      </c>
      <c r="K26" s="275"/>
      <c r="L26" s="173" t="s">
        <v>63</v>
      </c>
      <c r="M26" s="109" t="s">
        <v>71</v>
      </c>
      <c r="N26" s="110"/>
      <c r="O26" s="68"/>
      <c r="P26" s="68"/>
      <c r="Q26" s="68"/>
      <c r="R26" s="68"/>
      <c r="S26" s="68"/>
      <c r="T26" s="68"/>
      <c r="U26" s="68"/>
      <c r="V26" s="68"/>
      <c r="W26" s="68"/>
      <c r="X26" s="67"/>
      <c r="Y26" s="67"/>
      <c r="Z26" s="67"/>
      <c r="AA26" s="222"/>
      <c r="AB26" s="720"/>
      <c r="AC26" s="7" t="s">
        <v>16</v>
      </c>
      <c r="AD26" s="345">
        <f t="shared" si="0"/>
        <v>44</v>
      </c>
      <c r="AE26" s="8"/>
      <c r="AF26" s="7">
        <v>44</v>
      </c>
      <c r="AG26" s="56"/>
      <c r="AH26" s="56"/>
      <c r="AI26" s="9">
        <v>3272.11</v>
      </c>
      <c r="AJ26" s="85">
        <v>3318.11</v>
      </c>
      <c r="AK26" s="9">
        <f t="shared" si="1"/>
        <v>75.411590909090918</v>
      </c>
      <c r="AL26" s="62"/>
      <c r="AM26" s="62"/>
      <c r="AN26" s="62"/>
      <c r="AO26" s="62"/>
      <c r="AP26" s="62"/>
      <c r="AQ26" s="9"/>
      <c r="AR26" s="79"/>
      <c r="AS26" s="81" t="e">
        <f t="shared" si="58"/>
        <v>#DIV/0!</v>
      </c>
      <c r="AT26" s="60">
        <v>3.5</v>
      </c>
      <c r="AU26" s="59" t="s">
        <v>621</v>
      </c>
      <c r="AV26" s="20" t="s">
        <v>125</v>
      </c>
      <c r="AW26" s="196">
        <v>41170</v>
      </c>
      <c r="AX26" s="196">
        <v>40963</v>
      </c>
      <c r="AY26" s="113" t="s">
        <v>11</v>
      </c>
      <c r="AZ26" s="113" t="s">
        <v>153</v>
      </c>
      <c r="BA26" s="470">
        <v>220000</v>
      </c>
      <c r="BB26" s="216">
        <v>41465</v>
      </c>
      <c r="BC26" s="102"/>
      <c r="BD26" s="102">
        <v>41537</v>
      </c>
      <c r="BE26" s="216">
        <v>41543</v>
      </c>
      <c r="BF26" s="102"/>
      <c r="BG26" s="171">
        <v>41549</v>
      </c>
      <c r="BH26" s="214">
        <v>41583</v>
      </c>
      <c r="BI26" s="172">
        <f t="shared" si="65"/>
        <v>41675</v>
      </c>
      <c r="BJ26" s="172"/>
      <c r="BK26" s="323">
        <v>41659</v>
      </c>
      <c r="BL26" s="322">
        <f t="shared" si="2"/>
        <v>42389</v>
      </c>
      <c r="BM26" s="322">
        <f t="shared" si="3"/>
        <v>42755</v>
      </c>
      <c r="BN26" s="322" t="str">
        <f t="shared" si="61"/>
        <v>oui</v>
      </c>
      <c r="BO26" s="172"/>
      <c r="BP26" s="171">
        <v>41659</v>
      </c>
      <c r="BQ26" s="103"/>
      <c r="BR26" s="104"/>
      <c r="BS26" s="107"/>
      <c r="BT26" s="107"/>
      <c r="BU26" s="167"/>
      <c r="BV26" s="333">
        <v>41635</v>
      </c>
      <c r="BW26" s="268"/>
      <c r="BX26" s="168">
        <v>13003860.789999999</v>
      </c>
      <c r="BY26" s="174">
        <f t="shared" si="50"/>
        <v>42182</v>
      </c>
      <c r="BZ26" s="268"/>
      <c r="CA26" s="373">
        <v>42159</v>
      </c>
      <c r="CB26" s="450"/>
      <c r="CC26" s="450"/>
      <c r="CD26" s="511"/>
      <c r="CE26" s="380">
        <v>41801</v>
      </c>
      <c r="CF26" s="374">
        <v>2014</v>
      </c>
      <c r="CG26" s="495">
        <f t="shared" si="4"/>
        <v>11.2</v>
      </c>
      <c r="CH26" s="256">
        <v>24</v>
      </c>
      <c r="CI26" s="130">
        <f t="shared" si="5"/>
        <v>25</v>
      </c>
      <c r="CJ26" s="257">
        <f t="shared" si="6"/>
        <v>28</v>
      </c>
      <c r="CK26" s="257">
        <f t="shared" si="7"/>
        <v>29</v>
      </c>
      <c r="CL26" s="257">
        <f t="shared" si="8"/>
        <v>4</v>
      </c>
      <c r="CM26" s="257">
        <f t="shared" si="9"/>
        <v>4</v>
      </c>
      <c r="CN26" s="247">
        <f>215379.952064433/12</f>
        <v>17948.329338702748</v>
      </c>
      <c r="CO26" s="247">
        <f t="shared" si="64"/>
        <v>71793.317354810992</v>
      </c>
      <c r="CP26" s="250">
        <v>42538</v>
      </c>
      <c r="CQ26" s="652">
        <f t="shared" si="11"/>
        <v>42532</v>
      </c>
      <c r="CR26" s="380">
        <v>42682</v>
      </c>
      <c r="CS26" s="387">
        <v>42735</v>
      </c>
      <c r="CT26" s="250">
        <v>42726</v>
      </c>
      <c r="CU26" s="250">
        <v>42744</v>
      </c>
      <c r="CV26" s="702">
        <v>42692</v>
      </c>
      <c r="CW26" s="390">
        <v>42704</v>
      </c>
      <c r="CX26" s="515">
        <v>2016</v>
      </c>
      <c r="CY26" s="250">
        <v>42670</v>
      </c>
      <c r="CZ26" s="325" t="s">
        <v>584</v>
      </c>
      <c r="DA26" s="325"/>
      <c r="DB26" s="325" t="s">
        <v>605</v>
      </c>
      <c r="DC26" s="325" t="s">
        <v>332</v>
      </c>
      <c r="DD26" s="325" t="s">
        <v>591</v>
      </c>
      <c r="DE26" s="133" t="s">
        <v>643</v>
      </c>
      <c r="DF26" s="56"/>
      <c r="DG26" s="281">
        <v>42795</v>
      </c>
      <c r="DH26" s="56"/>
      <c r="DI26" s="56"/>
      <c r="DJ26" s="56"/>
      <c r="DK26" s="56"/>
      <c r="DL26" s="281">
        <v>42795</v>
      </c>
      <c r="DM26" s="453" t="s">
        <v>683</v>
      </c>
      <c r="DN26" s="56" t="s">
        <v>470</v>
      </c>
      <c r="DO26" s="249" t="s">
        <v>133</v>
      </c>
      <c r="DP26" s="249"/>
      <c r="DQ26" s="56"/>
      <c r="DR26" s="56"/>
      <c r="DS26" s="128"/>
      <c r="DT26" s="128"/>
      <c r="DU26" s="128"/>
      <c r="DV26" s="589" t="str">
        <f t="shared" si="13"/>
        <v>0</v>
      </c>
      <c r="DW26" s="128"/>
      <c r="DX26" s="128"/>
      <c r="DY26" s="589" t="str">
        <f t="shared" si="14"/>
        <v>0</v>
      </c>
      <c r="DZ26" s="128"/>
      <c r="EA26" s="128"/>
      <c r="EB26" s="589" t="str">
        <f t="shared" si="15"/>
        <v>0</v>
      </c>
      <c r="EC26" s="128"/>
      <c r="ED26" s="128"/>
      <c r="EE26" s="589" t="str">
        <f t="shared" si="16"/>
        <v>0</v>
      </c>
      <c r="EF26" s="135"/>
      <c r="EG26" s="646"/>
      <c r="EH26" s="589" t="str">
        <f t="shared" si="17"/>
        <v>0</v>
      </c>
      <c r="EI26" s="245"/>
      <c r="EJ26" s="128"/>
      <c r="EK26" s="245"/>
      <c r="EL26" s="589" t="str">
        <f t="shared" si="18"/>
        <v>0</v>
      </c>
      <c r="EM26" s="128"/>
      <c r="EN26" s="245"/>
      <c r="EO26" s="589" t="str">
        <f t="shared" si="19"/>
        <v>0</v>
      </c>
      <c r="EP26" s="128"/>
      <c r="EQ26" s="245"/>
      <c r="ER26" s="589" t="str">
        <f t="shared" si="20"/>
        <v>0</v>
      </c>
      <c r="ES26" s="648"/>
      <c r="ET26" s="644"/>
      <c r="EU26" s="593" t="str">
        <f t="shared" si="21"/>
        <v>0</v>
      </c>
      <c r="EV26" s="135"/>
      <c r="EW26" s="649"/>
      <c r="EX26" s="589" t="str">
        <f t="shared" si="22"/>
        <v>0</v>
      </c>
      <c r="EY26" s="128"/>
      <c r="EZ26" s="128"/>
      <c r="FA26" s="589" t="str">
        <f t="shared" si="23"/>
        <v>0</v>
      </c>
      <c r="FB26" s="128"/>
      <c r="FC26" s="128"/>
      <c r="FD26" s="589" t="str">
        <f t="shared" si="24"/>
        <v>0</v>
      </c>
      <c r="FE26" s="128"/>
      <c r="FF26" s="128"/>
      <c r="FG26" s="589" t="str">
        <f t="shared" si="25"/>
        <v>0</v>
      </c>
      <c r="FH26" s="128"/>
      <c r="FI26" s="128"/>
      <c r="FJ26" s="589" t="str">
        <f t="shared" si="26"/>
        <v>0</v>
      </c>
      <c r="FK26" s="128"/>
      <c r="FL26" s="128"/>
      <c r="FM26" s="128"/>
      <c r="FN26" s="600"/>
      <c r="FO26" s="600"/>
      <c r="FP26" s="598">
        <f t="shared" si="27"/>
        <v>0</v>
      </c>
      <c r="FQ26" s="600"/>
      <c r="FR26" s="600"/>
      <c r="FS26" s="623"/>
      <c r="FT26" s="623"/>
      <c r="FU26" s="627"/>
      <c r="FV26" s="627"/>
      <c r="FW26" s="628">
        <f t="shared" si="28"/>
        <v>0</v>
      </c>
      <c r="FX26" s="628">
        <f t="shared" si="29"/>
        <v>0</v>
      </c>
      <c r="FY26" s="624"/>
      <c r="FZ26" s="641" t="s">
        <v>862</v>
      </c>
      <c r="GA26" s="624"/>
      <c r="GB26" s="624"/>
      <c r="GC26" s="114" t="s">
        <v>125</v>
      </c>
      <c r="GD26" s="729">
        <v>6402537</v>
      </c>
      <c r="GE26" s="10">
        <f t="shared" si="63"/>
        <v>6402537</v>
      </c>
      <c r="GF26" s="11">
        <f>GP26+GT26+HA26+HT26+HB26+HE26</f>
        <v>6464079</v>
      </c>
      <c r="GG26" s="12">
        <f t="shared" si="30"/>
        <v>61542</v>
      </c>
      <c r="GH26" s="12">
        <f t="shared" si="31"/>
        <v>1975.5078527311123</v>
      </c>
      <c r="GI26" s="12">
        <f t="shared" si="32"/>
        <v>146910.88636363635</v>
      </c>
      <c r="GJ26" s="10">
        <v>5737343</v>
      </c>
      <c r="GK26" s="11">
        <v>5833192</v>
      </c>
      <c r="GL26" s="12">
        <f t="shared" si="33"/>
        <v>95849</v>
      </c>
      <c r="GM26" s="137">
        <f t="shared" si="34"/>
        <v>0.91492281934489406</v>
      </c>
      <c r="GN26" s="138"/>
      <c r="GO26" s="10">
        <v>1799492</v>
      </c>
      <c r="GP26" s="11">
        <v>1905132</v>
      </c>
      <c r="GQ26" s="23">
        <f t="shared" si="35"/>
        <v>43298.454545454544</v>
      </c>
      <c r="GR26" s="38">
        <f t="shared" si="36"/>
        <v>105640</v>
      </c>
      <c r="GS26" s="10">
        <v>3703045</v>
      </c>
      <c r="GT26" s="11">
        <f t="shared" si="37"/>
        <v>3678947</v>
      </c>
      <c r="GU26" s="13">
        <v>473086</v>
      </c>
      <c r="GV26" s="13">
        <v>3205861</v>
      </c>
      <c r="GW26" s="38">
        <f t="shared" si="38"/>
        <v>-24098</v>
      </c>
      <c r="GX26" s="23">
        <f t="shared" si="39"/>
        <v>83612.431818181823</v>
      </c>
      <c r="GY26" s="11"/>
      <c r="GZ26" s="10">
        <v>900000</v>
      </c>
      <c r="HA26" s="11">
        <v>880000</v>
      </c>
      <c r="HB26" s="70"/>
      <c r="HC26" s="41">
        <f t="shared" si="40"/>
        <v>0.13613695005893336</v>
      </c>
      <c r="HD26" s="329"/>
      <c r="HE26" s="11">
        <v>0</v>
      </c>
      <c r="HF26" s="24">
        <f t="shared" si="62"/>
        <v>-20000</v>
      </c>
      <c r="HG26" s="23">
        <f t="shared" si="41"/>
        <v>20000</v>
      </c>
      <c r="HH26" s="52"/>
      <c r="HI26" s="24">
        <f t="shared" si="42"/>
        <v>-454.54545454545456</v>
      </c>
      <c r="HJ26" s="51"/>
      <c r="HK26" s="51"/>
      <c r="HL26" s="40">
        <v>0</v>
      </c>
      <c r="HM26" s="40">
        <v>0</v>
      </c>
      <c r="HN26" s="23">
        <f t="shared" si="43"/>
        <v>63298.454545454544</v>
      </c>
      <c r="HO26" s="40">
        <v>0</v>
      </c>
      <c r="HP26" s="23">
        <f t="shared" si="44"/>
        <v>63298.454545454544</v>
      </c>
      <c r="HQ26" s="53">
        <f t="shared" si="45"/>
        <v>0.45371634850544579</v>
      </c>
      <c r="HR26" s="40">
        <v>325591.79499999998</v>
      </c>
      <c r="HS26" s="40"/>
      <c r="HT26" s="11">
        <v>0</v>
      </c>
      <c r="HU26" s="42">
        <f t="shared" si="46"/>
        <v>6464079</v>
      </c>
      <c r="HV26" s="245"/>
      <c r="HW26" s="245">
        <f t="shared" si="47"/>
        <v>0</v>
      </c>
      <c r="HX26" s="119"/>
      <c r="HY26" s="245"/>
      <c r="HZ26" s="245"/>
      <c r="IA26" s="119"/>
      <c r="IB26" s="119"/>
      <c r="IC26" s="245"/>
      <c r="ID26" s="119"/>
      <c r="IE26" s="245"/>
      <c r="IF26" s="119"/>
      <c r="IG26" s="245"/>
      <c r="IH26" s="120"/>
      <c r="II26" s="350"/>
      <c r="IJ26" s="341"/>
      <c r="IK26" s="341"/>
      <c r="IL26" s="128"/>
      <c r="IM26" s="245"/>
      <c r="IN26" s="128"/>
      <c r="IO26" s="245"/>
      <c r="IP26" s="352"/>
      <c r="IQ26" s="352"/>
      <c r="IR26" s="352"/>
      <c r="IS26" s="352"/>
      <c r="IT26" s="289"/>
      <c r="IU26" s="289"/>
      <c r="IV26" s="289"/>
      <c r="IW26" s="289"/>
      <c r="IX26" s="289"/>
      <c r="IY26" s="289"/>
      <c r="IZ26" s="245"/>
      <c r="JA26" s="128"/>
      <c r="JB26" s="120"/>
      <c r="JC26" s="128"/>
      <c r="JD26" s="128"/>
      <c r="JE26" s="120"/>
    </row>
    <row r="27" spans="1:265" ht="24.95" customHeight="1">
      <c r="A27" s="25" t="s">
        <v>38</v>
      </c>
      <c r="B27" s="7" t="s">
        <v>35</v>
      </c>
      <c r="C27" s="7" t="s">
        <v>117</v>
      </c>
      <c r="D27" s="7">
        <v>2013</v>
      </c>
      <c r="E27" s="7" t="s">
        <v>39</v>
      </c>
      <c r="F27" s="7" t="s">
        <v>58</v>
      </c>
      <c r="G27" s="7" t="s">
        <v>697</v>
      </c>
      <c r="H27" s="7" t="s">
        <v>181</v>
      </c>
      <c r="I27" s="56"/>
      <c r="J27" s="56"/>
      <c r="K27" s="275"/>
      <c r="L27" s="460" t="s">
        <v>66</v>
      </c>
      <c r="M27" s="460" t="s">
        <v>68</v>
      </c>
      <c r="N27" s="669">
        <v>41619</v>
      </c>
      <c r="O27" s="219">
        <v>5146</v>
      </c>
      <c r="P27" s="219">
        <f>Q27</f>
        <v>1069200</v>
      </c>
      <c r="Q27" s="219">
        <v>1069200</v>
      </c>
      <c r="R27" s="219">
        <f>P27/AD27</f>
        <v>19800</v>
      </c>
      <c r="S27" s="219">
        <f t="shared" ref="S27:S62" si="66">P27/O27</f>
        <v>207.77302759424796</v>
      </c>
      <c r="T27" s="219">
        <f t="shared" ref="T27:T62" si="67">Q27/O27</f>
        <v>207.77302759424796</v>
      </c>
      <c r="U27" s="219">
        <f>Q27/AJ27</f>
        <v>226.47840067104713</v>
      </c>
      <c r="V27" s="219">
        <f>Q27/AD27</f>
        <v>19800</v>
      </c>
      <c r="W27" s="219">
        <f>O27/AD27</f>
        <v>95.296296296296291</v>
      </c>
      <c r="X27" s="220">
        <v>2205.9499999999998</v>
      </c>
      <c r="Y27" s="221">
        <f>AJ27/O27</f>
        <v>0.91740769529731825</v>
      </c>
      <c r="Z27" s="220" t="s">
        <v>203</v>
      </c>
      <c r="AA27" s="222">
        <v>570</v>
      </c>
      <c r="AB27" s="223">
        <v>0.15</v>
      </c>
      <c r="AC27" s="7" t="s">
        <v>15</v>
      </c>
      <c r="AD27" s="345">
        <f t="shared" si="0"/>
        <v>54</v>
      </c>
      <c r="AE27" s="7">
        <v>54</v>
      </c>
      <c r="AF27" s="8"/>
      <c r="AG27" s="67"/>
      <c r="AH27" s="67"/>
      <c r="AI27" s="9">
        <v>4668.4799999999996</v>
      </c>
      <c r="AJ27" s="85">
        <v>4720.9799999999996</v>
      </c>
      <c r="AK27" s="9">
        <f t="shared" si="1"/>
        <v>87.425555555555547</v>
      </c>
      <c r="AL27" s="62"/>
      <c r="AM27" s="62"/>
      <c r="AN27" s="62"/>
      <c r="AO27" s="62"/>
      <c r="AP27" s="62"/>
      <c r="AQ27" s="9"/>
      <c r="AR27" s="79">
        <v>0</v>
      </c>
      <c r="AS27" s="81">
        <f t="shared" si="58"/>
        <v>0</v>
      </c>
      <c r="AT27" s="66" t="s">
        <v>204</v>
      </c>
      <c r="AU27" s="59" t="s">
        <v>621</v>
      </c>
      <c r="AV27" s="7" t="s">
        <v>125</v>
      </c>
      <c r="AW27" s="196">
        <v>41233</v>
      </c>
      <c r="AX27" s="196">
        <v>41348</v>
      </c>
      <c r="AY27" s="113" t="s">
        <v>12</v>
      </c>
      <c r="AZ27" s="113" t="s">
        <v>141</v>
      </c>
      <c r="BA27" s="469"/>
      <c r="BB27" s="216">
        <v>41466</v>
      </c>
      <c r="BC27" s="102"/>
      <c r="BD27" s="102">
        <v>41498</v>
      </c>
      <c r="BE27" s="216">
        <v>41508</v>
      </c>
      <c r="BF27" s="102"/>
      <c r="BG27" s="171">
        <v>41550</v>
      </c>
      <c r="BH27" s="214">
        <v>41576</v>
      </c>
      <c r="BI27" s="172">
        <f t="shared" si="65"/>
        <v>41668</v>
      </c>
      <c r="BJ27" s="172"/>
      <c r="BK27" s="323">
        <v>41659</v>
      </c>
      <c r="BL27" s="322">
        <f t="shared" si="2"/>
        <v>42389</v>
      </c>
      <c r="BM27" s="322">
        <f t="shared" si="3"/>
        <v>42755</v>
      </c>
      <c r="BN27" s="322" t="str">
        <f t="shared" si="61"/>
        <v>oui</v>
      </c>
      <c r="BO27" s="172"/>
      <c r="BP27" s="471" t="s">
        <v>187</v>
      </c>
      <c r="BQ27" s="103"/>
      <c r="BR27" s="104"/>
      <c r="BS27" s="107"/>
      <c r="BT27" s="107"/>
      <c r="BU27" s="174" t="s">
        <v>143</v>
      </c>
      <c r="BV27" s="333">
        <v>41626</v>
      </c>
      <c r="BW27" s="268"/>
      <c r="BX27" s="168">
        <v>9174750.6199999992</v>
      </c>
      <c r="BY27" s="174">
        <f t="shared" si="50"/>
        <v>42173</v>
      </c>
      <c r="BZ27" s="268">
        <f>DATE(YEAR(BV27),MONTH(BV27)+24,DAY(BV27))</f>
        <v>42356</v>
      </c>
      <c r="CA27" s="373">
        <v>42656</v>
      </c>
      <c r="CB27" s="268">
        <v>42668</v>
      </c>
      <c r="CC27" s="681">
        <f t="shared" ref="CC27:CC37" si="68">(CW27-CB27)/30</f>
        <v>13.766666666666667</v>
      </c>
      <c r="CD27" s="81"/>
      <c r="CE27" s="380">
        <v>41764</v>
      </c>
      <c r="CF27" s="376">
        <v>2014</v>
      </c>
      <c r="CG27" s="496">
        <f t="shared" si="4"/>
        <v>9.9333333333333336</v>
      </c>
      <c r="CH27" s="256">
        <v>15</v>
      </c>
      <c r="CI27" s="130">
        <f t="shared" si="5"/>
        <v>16</v>
      </c>
      <c r="CJ27" s="257">
        <f t="shared" si="6"/>
        <v>42</v>
      </c>
      <c r="CK27" s="257">
        <f t="shared" si="7"/>
        <v>43</v>
      </c>
      <c r="CL27" s="257">
        <f t="shared" si="8"/>
        <v>27</v>
      </c>
      <c r="CM27" s="257">
        <f t="shared" si="9"/>
        <v>27</v>
      </c>
      <c r="CN27" s="247">
        <f>366249.787559262/12</f>
        <v>30520.815629938501</v>
      </c>
      <c r="CO27" s="247">
        <f t="shared" si="64"/>
        <v>824062.02200833953</v>
      </c>
      <c r="CP27" s="250">
        <v>42527</v>
      </c>
      <c r="CQ27" s="702">
        <f t="shared" si="11"/>
        <v>42221</v>
      </c>
      <c r="CR27" s="446">
        <v>43054</v>
      </c>
      <c r="CS27" s="387">
        <f>DATE(YEAR(CA27)+2,MONTH(CA27),DAY(CA27))</f>
        <v>43386</v>
      </c>
      <c r="CT27" s="134"/>
      <c r="CU27" s="134"/>
      <c r="CV27" s="673">
        <v>43066</v>
      </c>
      <c r="CW27" s="382">
        <v>43081</v>
      </c>
      <c r="CX27" s="376">
        <v>2017</v>
      </c>
      <c r="CY27" s="343">
        <v>42970</v>
      </c>
      <c r="CZ27" s="127"/>
      <c r="DA27" s="127"/>
      <c r="DB27" s="127"/>
      <c r="DC27" s="127"/>
      <c r="DD27" s="127"/>
      <c r="DE27" s="56"/>
      <c r="DF27" s="56"/>
      <c r="DG27" s="299">
        <v>43152</v>
      </c>
      <c r="DH27" s="127"/>
      <c r="DI27" s="127"/>
      <c r="DJ27" s="127"/>
      <c r="DK27" s="56"/>
      <c r="DL27" s="56"/>
      <c r="DM27" s="56"/>
      <c r="DN27" s="196"/>
      <c r="DO27" s="56" t="s">
        <v>729</v>
      </c>
      <c r="DP27" s="56"/>
      <c r="DQ27" s="56"/>
      <c r="DR27" s="56"/>
      <c r="DS27" s="128"/>
      <c r="DT27" s="128"/>
      <c r="DU27" s="128"/>
      <c r="DV27" s="589" t="str">
        <f t="shared" si="13"/>
        <v>0</v>
      </c>
      <c r="DW27" s="128"/>
      <c r="DX27" s="128"/>
      <c r="DY27" s="589" t="str">
        <f t="shared" si="14"/>
        <v>0</v>
      </c>
      <c r="DZ27" s="128"/>
      <c r="EA27" s="128"/>
      <c r="EB27" s="589" t="str">
        <f t="shared" si="15"/>
        <v>0</v>
      </c>
      <c r="EC27" s="128"/>
      <c r="ED27" s="128"/>
      <c r="EE27" s="589" t="str">
        <f t="shared" si="16"/>
        <v>0</v>
      </c>
      <c r="EF27" s="135"/>
      <c r="EG27" s="646"/>
      <c r="EH27" s="589" t="str">
        <f t="shared" si="17"/>
        <v>0</v>
      </c>
      <c r="EI27" s="245"/>
      <c r="EJ27" s="128"/>
      <c r="EK27" s="245"/>
      <c r="EL27" s="589" t="str">
        <f t="shared" si="18"/>
        <v>0</v>
      </c>
      <c r="EM27" s="128"/>
      <c r="EN27" s="245"/>
      <c r="EO27" s="589" t="str">
        <f t="shared" si="19"/>
        <v>0</v>
      </c>
      <c r="EP27" s="128"/>
      <c r="EQ27" s="245"/>
      <c r="ER27" s="589" t="str">
        <f t="shared" si="20"/>
        <v>0</v>
      </c>
      <c r="ES27" s="648"/>
      <c r="ET27" s="644"/>
      <c r="EU27" s="593" t="str">
        <f t="shared" si="21"/>
        <v>0</v>
      </c>
      <c r="EV27" s="135"/>
      <c r="EW27" s="649">
        <f ca="1">IF(EV27&lt;TODAY(),TODAY(),EV27)</f>
        <v>43163</v>
      </c>
      <c r="EX27" s="589" t="str">
        <f t="shared" ca="1" si="22"/>
        <v>0</v>
      </c>
      <c r="EY27" s="128"/>
      <c r="EZ27" s="128"/>
      <c r="FA27" s="589" t="str">
        <f t="shared" si="23"/>
        <v>0</v>
      </c>
      <c r="FB27" s="128"/>
      <c r="FC27" s="128"/>
      <c r="FD27" s="589" t="str">
        <f t="shared" si="24"/>
        <v>0</v>
      </c>
      <c r="FE27" s="128"/>
      <c r="FF27" s="128"/>
      <c r="FG27" s="589" t="str">
        <f t="shared" si="25"/>
        <v>0</v>
      </c>
      <c r="FH27" s="128"/>
      <c r="FI27" s="128"/>
      <c r="FJ27" s="589" t="str">
        <f t="shared" si="26"/>
        <v>0</v>
      </c>
      <c r="FK27" s="128"/>
      <c r="FL27" s="128"/>
      <c r="FM27" s="128"/>
      <c r="FN27" s="600"/>
      <c r="FO27" s="600"/>
      <c r="FP27" s="598">
        <f t="shared" si="27"/>
        <v>0</v>
      </c>
      <c r="FQ27" s="600"/>
      <c r="FR27" s="600"/>
      <c r="FS27" s="623"/>
      <c r="FT27" s="623"/>
      <c r="FU27" s="627"/>
      <c r="FV27" s="627"/>
      <c r="FW27" s="628">
        <f t="shared" si="28"/>
        <v>0</v>
      </c>
      <c r="FX27" s="628">
        <f t="shared" si="29"/>
        <v>0</v>
      </c>
      <c r="FY27" s="624"/>
      <c r="FZ27" s="641" t="s">
        <v>858</v>
      </c>
      <c r="GA27" s="624"/>
      <c r="GB27" s="624"/>
      <c r="GC27" s="114" t="s">
        <v>125</v>
      </c>
      <c r="GD27" s="723">
        <v>9099071</v>
      </c>
      <c r="GE27" s="10">
        <f t="shared" si="63"/>
        <v>9922066.7400000002</v>
      </c>
      <c r="GF27" s="11">
        <f>GP27+GT27+HA27+HT27+HB27+HE27</f>
        <v>10029068.74</v>
      </c>
      <c r="GG27" s="12">
        <f t="shared" si="30"/>
        <v>107002</v>
      </c>
      <c r="GH27" s="12">
        <f t="shared" si="31"/>
        <v>2148.2514094523272</v>
      </c>
      <c r="GI27" s="12">
        <f t="shared" si="32"/>
        <v>185723.49518518519</v>
      </c>
      <c r="GJ27" s="670">
        <v>8367242</v>
      </c>
      <c r="GK27" s="11">
        <v>8644229</v>
      </c>
      <c r="GL27" s="12">
        <f t="shared" si="33"/>
        <v>276987</v>
      </c>
      <c r="GM27" s="137">
        <f t="shared" si="34"/>
        <v>0.86100550478659632</v>
      </c>
      <c r="GN27" s="138"/>
      <c r="GO27" s="10">
        <v>3120981</v>
      </c>
      <c r="GP27" s="11">
        <v>3287400</v>
      </c>
      <c r="GQ27" s="23">
        <f t="shared" si="35"/>
        <v>60877.777777777781</v>
      </c>
      <c r="GR27" s="38">
        <f t="shared" si="36"/>
        <v>166419</v>
      </c>
      <c r="GS27" s="10">
        <v>5978090</v>
      </c>
      <c r="GT27" s="11">
        <f t="shared" si="37"/>
        <v>5918673</v>
      </c>
      <c r="GU27" s="13">
        <v>1256197</v>
      </c>
      <c r="GV27" s="13">
        <v>4662476</v>
      </c>
      <c r="GW27" s="38">
        <f t="shared" si="38"/>
        <v>-59417</v>
      </c>
      <c r="GX27" s="23">
        <f t="shared" si="39"/>
        <v>109605.05555555556</v>
      </c>
      <c r="GY27" s="11"/>
      <c r="GZ27" s="10">
        <v>1</v>
      </c>
      <c r="HA27" s="11">
        <v>1</v>
      </c>
      <c r="HB27" s="70"/>
      <c r="HC27" s="41">
        <f t="shared" si="40"/>
        <v>9.9710155142480356E-8</v>
      </c>
      <c r="HD27" s="329"/>
      <c r="HE27" s="11">
        <v>0</v>
      </c>
      <c r="HF27" s="24">
        <f t="shared" si="62"/>
        <v>0</v>
      </c>
      <c r="HG27" s="23">
        <f t="shared" si="41"/>
        <v>1.8518518518518517E-2</v>
      </c>
      <c r="HH27" s="52"/>
      <c r="HI27" s="24">
        <f t="shared" si="42"/>
        <v>0</v>
      </c>
      <c r="HJ27" s="51"/>
      <c r="HK27" s="51"/>
      <c r="HL27" s="40"/>
      <c r="HM27" s="40"/>
      <c r="HN27" s="23">
        <f t="shared" si="43"/>
        <v>60877.796296296299</v>
      </c>
      <c r="HO27" s="40">
        <v>0</v>
      </c>
      <c r="HP27" s="23">
        <f t="shared" si="44"/>
        <v>60877.796296296299</v>
      </c>
      <c r="HQ27" s="53">
        <f t="shared" si="45"/>
        <v>0.32778726372554506</v>
      </c>
      <c r="HR27" s="40"/>
      <c r="HS27" s="40"/>
      <c r="HT27" s="483">
        <v>822994.74</v>
      </c>
      <c r="HU27" s="42">
        <f t="shared" si="46"/>
        <v>10029068.74</v>
      </c>
      <c r="HV27" s="245">
        <v>455729</v>
      </c>
      <c r="HW27" s="245">
        <f t="shared" si="47"/>
        <v>225585</v>
      </c>
      <c r="HX27" s="119">
        <v>41207</v>
      </c>
      <c r="HY27" s="245">
        <v>42868</v>
      </c>
      <c r="HZ27" s="245"/>
      <c r="IA27" s="119"/>
      <c r="IB27" s="119"/>
      <c r="IC27" s="245"/>
      <c r="ID27" s="119">
        <v>41332</v>
      </c>
      <c r="IE27" s="245">
        <v>44712</v>
      </c>
      <c r="IF27" s="119">
        <v>41396</v>
      </c>
      <c r="IG27" s="245">
        <v>65685</v>
      </c>
      <c r="IH27" s="120">
        <v>41547</v>
      </c>
      <c r="II27" s="350">
        <v>65685</v>
      </c>
      <c r="IJ27" s="341"/>
      <c r="IK27" s="341"/>
      <c r="IL27" s="128"/>
      <c r="IM27" s="245"/>
      <c r="IN27" s="128"/>
      <c r="IO27" s="245"/>
      <c r="IP27" s="120"/>
      <c r="IQ27" s="120"/>
      <c r="IR27" s="120"/>
      <c r="IS27" s="120"/>
      <c r="IT27" s="252">
        <v>42822</v>
      </c>
      <c r="IU27" s="245">
        <v>6635</v>
      </c>
      <c r="IV27" s="289"/>
      <c r="IW27" s="289"/>
      <c r="IX27" s="289"/>
      <c r="IY27" s="289"/>
      <c r="IZ27" s="245">
        <v>44712</v>
      </c>
      <c r="JA27" s="128"/>
      <c r="JB27" s="120"/>
      <c r="JC27" s="128"/>
      <c r="JD27" s="128"/>
      <c r="JE27" s="120"/>
    </row>
    <row r="28" spans="1:265" s="65" customFormat="1" ht="24.95" customHeight="1">
      <c r="A28" s="86" t="s">
        <v>475</v>
      </c>
      <c r="B28" s="7" t="s">
        <v>28</v>
      </c>
      <c r="C28" s="7" t="s">
        <v>117</v>
      </c>
      <c r="D28" s="7">
        <v>2013</v>
      </c>
      <c r="E28" s="7" t="s">
        <v>53</v>
      </c>
      <c r="F28" s="7" t="s">
        <v>58</v>
      </c>
      <c r="G28" s="7" t="s">
        <v>297</v>
      </c>
      <c r="H28" s="7" t="s">
        <v>181</v>
      </c>
      <c r="I28" s="56">
        <f xml:space="preserve"> 681646.77+11262.46</f>
        <v>692909.23</v>
      </c>
      <c r="J28" s="56"/>
      <c r="K28" s="275" t="s">
        <v>724</v>
      </c>
      <c r="L28" s="173" t="s">
        <v>65</v>
      </c>
      <c r="M28" s="109" t="s">
        <v>70</v>
      </c>
      <c r="N28" s="110">
        <v>41627</v>
      </c>
      <c r="O28" s="219">
        <v>11354</v>
      </c>
      <c r="P28" s="219">
        <v>444858</v>
      </c>
      <c r="Q28" s="219">
        <v>247250</v>
      </c>
      <c r="R28" s="219">
        <f>P28/AD28</f>
        <v>13084.058823529413</v>
      </c>
      <c r="S28" s="219">
        <f t="shared" si="66"/>
        <v>39.180729258411134</v>
      </c>
      <c r="T28" s="219">
        <f t="shared" si="67"/>
        <v>21.776466443544127</v>
      </c>
      <c r="U28" s="219">
        <f>Q28/AJ28</f>
        <v>93.413630644960193</v>
      </c>
      <c r="V28" s="219">
        <f>Q28/AD28</f>
        <v>7272.0588235294117</v>
      </c>
      <c r="W28" s="219">
        <f>O28/AD28</f>
        <v>333.94117647058823</v>
      </c>
      <c r="X28" s="220"/>
      <c r="Y28" s="221">
        <f>AJ28/O28</f>
        <v>0.23311872467852737</v>
      </c>
      <c r="Z28" s="220" t="s">
        <v>206</v>
      </c>
      <c r="AA28" s="222">
        <v>300</v>
      </c>
      <c r="AB28" s="223"/>
      <c r="AC28" s="7" t="s">
        <v>16</v>
      </c>
      <c r="AD28" s="345">
        <f t="shared" si="0"/>
        <v>34</v>
      </c>
      <c r="AE28" s="8"/>
      <c r="AF28" s="7">
        <v>34</v>
      </c>
      <c r="AG28" s="56"/>
      <c r="AH28" s="56"/>
      <c r="AI28" s="9">
        <v>2592.75</v>
      </c>
      <c r="AJ28" s="85">
        <v>2646.83</v>
      </c>
      <c r="AK28" s="9">
        <f t="shared" si="1"/>
        <v>77.847941176470584</v>
      </c>
      <c r="AL28" s="62"/>
      <c r="AM28" s="62"/>
      <c r="AN28" s="62"/>
      <c r="AO28" s="62"/>
      <c r="AP28" s="62"/>
      <c r="AQ28" s="9">
        <v>1035</v>
      </c>
      <c r="AR28" s="79" t="s">
        <v>343</v>
      </c>
      <c r="AS28" s="81" t="e">
        <f t="shared" si="58"/>
        <v>#VALUE!</v>
      </c>
      <c r="AT28" s="62">
        <v>2</v>
      </c>
      <c r="AU28" s="56" t="s">
        <v>620</v>
      </c>
      <c r="AV28" s="7" t="s">
        <v>126</v>
      </c>
      <c r="AW28" s="196">
        <v>41173</v>
      </c>
      <c r="AX28" s="196">
        <v>41348</v>
      </c>
      <c r="AY28" s="113" t="s">
        <v>12</v>
      </c>
      <c r="AZ28" s="113" t="s">
        <v>155</v>
      </c>
      <c r="BA28" s="730"/>
      <c r="BB28" s="216">
        <v>41484</v>
      </c>
      <c r="BC28" s="102"/>
      <c r="BD28" s="102">
        <v>41498</v>
      </c>
      <c r="BE28" s="216">
        <v>41509</v>
      </c>
      <c r="BF28" s="102"/>
      <c r="BG28" s="171">
        <v>41549</v>
      </c>
      <c r="BH28" s="214">
        <v>41576</v>
      </c>
      <c r="BI28" s="172">
        <f t="shared" si="65"/>
        <v>41668</v>
      </c>
      <c r="BJ28" s="172"/>
      <c r="BK28" s="323">
        <v>41659</v>
      </c>
      <c r="BL28" s="322">
        <f t="shared" si="2"/>
        <v>42389</v>
      </c>
      <c r="BM28" s="322">
        <f t="shared" si="3"/>
        <v>42755</v>
      </c>
      <c r="BN28" s="322" t="str">
        <f t="shared" si="61"/>
        <v>oui</v>
      </c>
      <c r="BO28" s="172"/>
      <c r="BP28" s="471" t="s">
        <v>187</v>
      </c>
      <c r="BQ28" s="103"/>
      <c r="BR28" s="104"/>
      <c r="BS28" s="107"/>
      <c r="BT28" s="107"/>
      <c r="BU28" s="167" t="s">
        <v>154</v>
      </c>
      <c r="BV28" s="333">
        <v>41627</v>
      </c>
      <c r="BW28" s="268"/>
      <c r="BX28" s="168">
        <v>5177307.8499999996</v>
      </c>
      <c r="BY28" s="174">
        <f t="shared" si="50"/>
        <v>42174</v>
      </c>
      <c r="BZ28" s="268"/>
      <c r="CA28" s="373">
        <v>41988</v>
      </c>
      <c r="CB28" s="268">
        <v>42323</v>
      </c>
      <c r="CC28" s="681">
        <f t="shared" si="68"/>
        <v>25</v>
      </c>
      <c r="CD28" s="511"/>
      <c r="CE28" s="380">
        <v>41729</v>
      </c>
      <c r="CF28" s="374">
        <v>2014</v>
      </c>
      <c r="CG28" s="495">
        <f t="shared" si="4"/>
        <v>8.1666666666666661</v>
      </c>
      <c r="CH28" s="256">
        <v>18</v>
      </c>
      <c r="CI28" s="130">
        <f t="shared" si="5"/>
        <v>19</v>
      </c>
      <c r="CJ28" s="257">
        <f t="shared" si="6"/>
        <v>43</v>
      </c>
      <c r="CK28" s="257">
        <f t="shared" si="7"/>
        <v>44</v>
      </c>
      <c r="CL28" s="257">
        <f t="shared" si="8"/>
        <v>25</v>
      </c>
      <c r="CM28" s="257">
        <f t="shared" si="9"/>
        <v>25</v>
      </c>
      <c r="CN28" s="247">
        <f>170360/12</f>
        <v>14196.666666666666</v>
      </c>
      <c r="CO28" s="247">
        <f t="shared" si="64"/>
        <v>354916.66666666663</v>
      </c>
      <c r="CP28" s="250">
        <v>42342</v>
      </c>
      <c r="CQ28" s="652">
        <f t="shared" si="11"/>
        <v>42278</v>
      </c>
      <c r="CR28" s="446">
        <v>43054</v>
      </c>
      <c r="CS28" s="731">
        <f>DATE(YEAR(CA28)+2,MONTH(CA28),DAY(CA28))</f>
        <v>42719</v>
      </c>
      <c r="CT28" s="131"/>
      <c r="CU28" s="250"/>
      <c r="CV28" s="514">
        <v>43054</v>
      </c>
      <c r="CW28" s="706">
        <v>43073</v>
      </c>
      <c r="CX28" s="376">
        <v>2017</v>
      </c>
      <c r="CY28" s="343">
        <v>42982</v>
      </c>
      <c r="CZ28" s="125"/>
      <c r="DA28" s="125"/>
      <c r="DB28" s="125"/>
      <c r="DC28" s="125"/>
      <c r="DD28" s="125"/>
      <c r="DE28" s="125"/>
      <c r="DF28" s="56"/>
      <c r="DG28" s="343">
        <v>43153</v>
      </c>
      <c r="DH28" s="127"/>
      <c r="DI28" s="127"/>
      <c r="DJ28" s="127"/>
      <c r="DK28" s="56"/>
      <c r="DL28" s="56"/>
      <c r="DM28" s="56"/>
      <c r="DN28" s="56"/>
      <c r="DO28" s="56" t="s">
        <v>729</v>
      </c>
      <c r="DP28" s="56"/>
      <c r="DQ28" s="56"/>
      <c r="DR28" s="56"/>
      <c r="DS28" s="128"/>
      <c r="DT28" s="120"/>
      <c r="DU28" s="120"/>
      <c r="DV28" s="589" t="str">
        <f t="shared" si="13"/>
        <v>0</v>
      </c>
      <c r="DW28" s="128"/>
      <c r="DX28" s="128"/>
      <c r="DY28" s="589" t="str">
        <f t="shared" si="14"/>
        <v>0</v>
      </c>
      <c r="DZ28" s="135"/>
      <c r="EA28" s="128"/>
      <c r="EB28" s="589" t="str">
        <f t="shared" si="15"/>
        <v>0</v>
      </c>
      <c r="EC28" s="135"/>
      <c r="ED28" s="128"/>
      <c r="EE28" s="589" t="str">
        <f t="shared" si="16"/>
        <v>0</v>
      </c>
      <c r="EF28" s="135"/>
      <c r="EG28" s="646"/>
      <c r="EH28" s="589" t="str">
        <f t="shared" si="17"/>
        <v>0</v>
      </c>
      <c r="EI28" s="245"/>
      <c r="EJ28" s="128"/>
      <c r="EK28" s="245"/>
      <c r="EL28" s="589" t="str">
        <f t="shared" si="18"/>
        <v>0</v>
      </c>
      <c r="EM28" s="128"/>
      <c r="EN28" s="245"/>
      <c r="EO28" s="589" t="str">
        <f t="shared" si="19"/>
        <v>0</v>
      </c>
      <c r="EP28" s="128"/>
      <c r="EQ28" s="245"/>
      <c r="ER28" s="589" t="str">
        <f t="shared" si="20"/>
        <v>0</v>
      </c>
      <c r="ES28" s="648"/>
      <c r="ET28" s="644"/>
      <c r="EU28" s="593" t="str">
        <f t="shared" si="21"/>
        <v>0</v>
      </c>
      <c r="EV28" s="135"/>
      <c r="EW28" s="649"/>
      <c r="EX28" s="589" t="str">
        <f t="shared" si="22"/>
        <v>0</v>
      </c>
      <c r="EY28" s="245"/>
      <c r="EZ28" s="128"/>
      <c r="FA28" s="589" t="str">
        <f t="shared" si="23"/>
        <v>0</v>
      </c>
      <c r="FB28" s="120"/>
      <c r="FC28" s="120"/>
      <c r="FD28" s="589" t="str">
        <f t="shared" si="24"/>
        <v>0</v>
      </c>
      <c r="FE28" s="120"/>
      <c r="FF28" s="120"/>
      <c r="FG28" s="589" t="str">
        <f t="shared" si="25"/>
        <v>0</v>
      </c>
      <c r="FH28" s="120"/>
      <c r="FI28" s="120"/>
      <c r="FJ28" s="589" t="str">
        <f t="shared" si="26"/>
        <v>0</v>
      </c>
      <c r="FK28" s="120"/>
      <c r="FL28" s="120"/>
      <c r="FM28" s="120"/>
      <c r="FN28" s="602"/>
      <c r="FO28" s="600"/>
      <c r="FP28" s="598">
        <f t="shared" si="27"/>
        <v>0</v>
      </c>
      <c r="FQ28" s="602"/>
      <c r="FR28" s="602"/>
      <c r="FS28" s="623">
        <v>51376</v>
      </c>
      <c r="FT28" s="623"/>
      <c r="FU28" s="627">
        <v>30000</v>
      </c>
      <c r="FV28" s="627"/>
      <c r="FW28" s="628">
        <f t="shared" si="28"/>
        <v>0</v>
      </c>
      <c r="FX28" s="628">
        <f t="shared" si="29"/>
        <v>0</v>
      </c>
      <c r="FY28" s="624"/>
      <c r="FZ28" s="641" t="s">
        <v>845</v>
      </c>
      <c r="GA28" s="624"/>
      <c r="GB28" s="624"/>
      <c r="GC28" s="114" t="s">
        <v>125</v>
      </c>
      <c r="GD28" s="723">
        <v>5039187</v>
      </c>
      <c r="GE28" s="10">
        <f t="shared" si="63"/>
        <v>5626169.0199999996</v>
      </c>
      <c r="GF28" s="11">
        <f>GP28+GT28+HA28+HT28+HB28+HE28</f>
        <v>5885060.5999999996</v>
      </c>
      <c r="GG28" s="12">
        <f t="shared" si="30"/>
        <v>258891.58000000007</v>
      </c>
      <c r="GH28" s="12">
        <f t="shared" si="31"/>
        <v>2269.8141355703401</v>
      </c>
      <c r="GI28" s="12">
        <f t="shared" si="32"/>
        <v>173090.01764705882</v>
      </c>
      <c r="GJ28" s="10">
        <v>4467345</v>
      </c>
      <c r="GK28" s="11">
        <v>4848194</v>
      </c>
      <c r="GL28" s="12">
        <f t="shared" si="33"/>
        <v>380849</v>
      </c>
      <c r="GM28" s="137">
        <f t="shared" si="34"/>
        <v>0.81070426942132634</v>
      </c>
      <c r="GN28" s="138"/>
      <c r="GO28" s="10">
        <v>1408892</v>
      </c>
      <c r="GP28" s="11">
        <v>1600171.58</v>
      </c>
      <c r="GQ28" s="23">
        <f t="shared" si="35"/>
        <v>47063.87</v>
      </c>
      <c r="GR28" s="38">
        <f t="shared" si="36"/>
        <v>191279.58000000007</v>
      </c>
      <c r="GS28" s="10">
        <v>2956295</v>
      </c>
      <c r="GT28" s="11">
        <f t="shared" si="37"/>
        <v>3023907</v>
      </c>
      <c r="GU28" s="13">
        <v>650910</v>
      </c>
      <c r="GV28" s="13">
        <v>2372997</v>
      </c>
      <c r="GW28" s="38">
        <f t="shared" si="38"/>
        <v>67612</v>
      </c>
      <c r="GX28" s="23">
        <f t="shared" si="39"/>
        <v>88938.441176470587</v>
      </c>
      <c r="GY28" s="11"/>
      <c r="GZ28" s="10">
        <v>680000</v>
      </c>
      <c r="HA28" s="11">
        <v>680000</v>
      </c>
      <c r="HB28" s="70"/>
      <c r="HC28" s="41">
        <f t="shared" si="40"/>
        <v>0.11554681357061983</v>
      </c>
      <c r="HD28" s="329"/>
      <c r="HE28" s="11">
        <v>0</v>
      </c>
      <c r="HF28" s="24">
        <f t="shared" si="62"/>
        <v>0</v>
      </c>
      <c r="HG28" s="23">
        <f t="shared" si="41"/>
        <v>20000</v>
      </c>
      <c r="HH28" s="52"/>
      <c r="HI28" s="24">
        <f t="shared" si="42"/>
        <v>0</v>
      </c>
      <c r="HJ28" s="51"/>
      <c r="HK28" s="51"/>
      <c r="HL28" s="40">
        <v>1298644.9078014998</v>
      </c>
      <c r="HM28" s="40">
        <v>680000</v>
      </c>
      <c r="HN28" s="23">
        <f t="shared" si="43"/>
        <v>87063.87</v>
      </c>
      <c r="HO28" s="40">
        <v>0</v>
      </c>
      <c r="HP28" s="23">
        <f t="shared" si="44"/>
        <v>87063.87</v>
      </c>
      <c r="HQ28" s="53">
        <f t="shared" si="45"/>
        <v>0.42707533531758041</v>
      </c>
      <c r="HR28" s="40">
        <v>252442.25</v>
      </c>
      <c r="HS28" s="40"/>
      <c r="HT28" s="483">
        <v>580982.02</v>
      </c>
      <c r="HU28" s="42">
        <f t="shared" si="46"/>
        <v>7183705.5078014992</v>
      </c>
      <c r="HV28" s="245">
        <v>258409</v>
      </c>
      <c r="HW28" s="245">
        <f t="shared" si="47"/>
        <v>349737</v>
      </c>
      <c r="HX28" s="119">
        <v>40779</v>
      </c>
      <c r="HY28" s="245">
        <v>210013</v>
      </c>
      <c r="HZ28" s="245"/>
      <c r="IA28" s="119"/>
      <c r="IB28" s="119"/>
      <c r="IC28" s="245"/>
      <c r="ID28" s="119">
        <v>41332</v>
      </c>
      <c r="IE28" s="245">
        <v>39806</v>
      </c>
      <c r="IF28" s="119">
        <v>41485</v>
      </c>
      <c r="IG28" s="245">
        <v>24327</v>
      </c>
      <c r="IH28" s="120">
        <v>41570</v>
      </c>
      <c r="II28" s="350">
        <v>36491</v>
      </c>
      <c r="IJ28" s="341"/>
      <c r="IK28" s="341"/>
      <c r="IL28" s="128" t="s">
        <v>133</v>
      </c>
      <c r="IM28" s="245"/>
      <c r="IN28" s="128">
        <v>42719</v>
      </c>
      <c r="IO28" s="245">
        <v>39100</v>
      </c>
      <c r="IP28" s="120"/>
      <c r="IQ28" s="120"/>
      <c r="IR28" s="120"/>
      <c r="IS28" s="120"/>
      <c r="IT28" s="289"/>
      <c r="IU28" s="289"/>
      <c r="IV28" s="289"/>
      <c r="IW28" s="289"/>
      <c r="IX28" s="289"/>
      <c r="IY28" s="289"/>
      <c r="IZ28" s="245">
        <v>39806</v>
      </c>
      <c r="JA28" s="128"/>
      <c r="JB28" s="120"/>
      <c r="JC28" s="128"/>
      <c r="JD28" s="128"/>
      <c r="JE28" s="120"/>
    </row>
    <row r="29" spans="1:265" ht="82.5" customHeight="1">
      <c r="A29" s="25" t="s">
        <v>425</v>
      </c>
      <c r="B29" s="7" t="s">
        <v>35</v>
      </c>
      <c r="C29" s="7" t="s">
        <v>117</v>
      </c>
      <c r="D29" s="7">
        <v>2013</v>
      </c>
      <c r="E29" s="7" t="s">
        <v>57</v>
      </c>
      <c r="F29" s="7" t="s">
        <v>565</v>
      </c>
      <c r="G29" s="7" t="s">
        <v>739</v>
      </c>
      <c r="H29" s="7" t="s">
        <v>265</v>
      </c>
      <c r="I29" s="56"/>
      <c r="J29" s="56"/>
      <c r="K29" s="275"/>
      <c r="L29" s="173" t="s">
        <v>65</v>
      </c>
      <c r="M29" s="109" t="s">
        <v>72</v>
      </c>
      <c r="N29" s="110"/>
      <c r="O29" s="219">
        <f>1825+425</f>
        <v>2250</v>
      </c>
      <c r="P29" s="219">
        <v>102507</v>
      </c>
      <c r="Q29" s="219">
        <v>68451</v>
      </c>
      <c r="R29" s="219">
        <f>P29/AD29</f>
        <v>11389.666666666666</v>
      </c>
      <c r="S29" s="219">
        <f t="shared" si="66"/>
        <v>45.558666666666667</v>
      </c>
      <c r="T29" s="225">
        <f t="shared" si="67"/>
        <v>30.422666666666668</v>
      </c>
      <c r="U29" s="225">
        <f>Q29/AJ29</f>
        <v>96.496842223976543</v>
      </c>
      <c r="V29" s="225">
        <f>Q29/AD29</f>
        <v>7605.666666666667</v>
      </c>
      <c r="W29" s="219">
        <f>O29/AD29</f>
        <v>250</v>
      </c>
      <c r="X29" s="220"/>
      <c r="Y29" s="221">
        <f>AJ29/O29</f>
        <v>0.31527111111111111</v>
      </c>
      <c r="Z29" s="220" t="s">
        <v>215</v>
      </c>
      <c r="AA29" s="222"/>
      <c r="AB29" s="223"/>
      <c r="AC29" s="7" t="s">
        <v>16</v>
      </c>
      <c r="AD29" s="345">
        <f t="shared" si="0"/>
        <v>9</v>
      </c>
      <c r="AE29" s="8"/>
      <c r="AF29" s="7">
        <v>9</v>
      </c>
      <c r="AG29" s="56"/>
      <c r="AH29" s="56"/>
      <c r="AI29" s="9">
        <v>709.36</v>
      </c>
      <c r="AJ29" s="85">
        <v>709.36</v>
      </c>
      <c r="AK29" s="9">
        <f t="shared" si="1"/>
        <v>78.817777777777778</v>
      </c>
      <c r="AL29" s="81">
        <v>0</v>
      </c>
      <c r="AM29" s="81">
        <v>0</v>
      </c>
      <c r="AN29" s="81">
        <f>4/AD29</f>
        <v>0.44444444444444442</v>
      </c>
      <c r="AO29" s="81">
        <f>4/AD29</f>
        <v>0.44444444444444442</v>
      </c>
      <c r="AP29" s="81">
        <f>1/AD29</f>
        <v>0.1111111111111111</v>
      </c>
      <c r="AQ29" s="9"/>
      <c r="AR29" s="79" t="s">
        <v>343</v>
      </c>
      <c r="AS29" s="81" t="e">
        <f t="shared" si="58"/>
        <v>#VALUE!</v>
      </c>
      <c r="AT29" s="60">
        <v>2</v>
      </c>
      <c r="AU29" s="59" t="s">
        <v>621</v>
      </c>
      <c r="AV29" s="7"/>
      <c r="AW29" s="56"/>
      <c r="AX29" s="196">
        <v>40963</v>
      </c>
      <c r="AY29" s="113" t="s">
        <v>11</v>
      </c>
      <c r="AZ29" s="113" t="s">
        <v>131</v>
      </c>
      <c r="BA29" s="469"/>
      <c r="BB29" s="216">
        <v>41486</v>
      </c>
      <c r="BC29" s="102"/>
      <c r="BD29" s="102">
        <v>41516</v>
      </c>
      <c r="BE29" s="216">
        <v>41519</v>
      </c>
      <c r="BF29" s="102"/>
      <c r="BG29" s="171">
        <v>41549</v>
      </c>
      <c r="BH29" s="214">
        <v>41576</v>
      </c>
      <c r="BI29" s="172">
        <f t="shared" si="65"/>
        <v>41668</v>
      </c>
      <c r="BJ29" s="172"/>
      <c r="BK29" s="323">
        <v>41659</v>
      </c>
      <c r="BL29" s="322">
        <f t="shared" si="2"/>
        <v>42389</v>
      </c>
      <c r="BM29" s="322">
        <f t="shared" si="3"/>
        <v>42755</v>
      </c>
      <c r="BN29" s="322" t="str">
        <f t="shared" si="61"/>
        <v>oui</v>
      </c>
      <c r="BO29" s="172"/>
      <c r="BP29" s="471" t="s">
        <v>187</v>
      </c>
      <c r="BQ29" s="103"/>
      <c r="BR29" s="104"/>
      <c r="BS29" s="107"/>
      <c r="BT29" s="107"/>
      <c r="BU29" s="167" t="s">
        <v>72</v>
      </c>
      <c r="BV29" s="333">
        <v>41625</v>
      </c>
      <c r="BW29" s="268"/>
      <c r="BX29" s="168">
        <f>1479199.4/1.021</f>
        <v>1448775.1224289911</v>
      </c>
      <c r="BY29" s="174">
        <f t="shared" si="50"/>
        <v>42172</v>
      </c>
      <c r="BZ29" s="268">
        <f>DATE(YEAR(BV29),MONTH(BV29)+24,DAY(BV29))</f>
        <v>42355</v>
      </c>
      <c r="CA29" s="373">
        <v>42066</v>
      </c>
      <c r="CB29" s="268">
        <v>42200</v>
      </c>
      <c r="CC29" s="681">
        <f t="shared" si="68"/>
        <v>12.566666666666666</v>
      </c>
      <c r="CD29" s="511"/>
      <c r="CE29" s="380">
        <v>41900</v>
      </c>
      <c r="CF29" s="374">
        <v>2014</v>
      </c>
      <c r="CG29" s="495">
        <f t="shared" si="4"/>
        <v>13.8</v>
      </c>
      <c r="CH29" s="122">
        <v>13</v>
      </c>
      <c r="CI29" s="130">
        <f t="shared" si="5"/>
        <v>14</v>
      </c>
      <c r="CJ29" s="257">
        <f t="shared" si="6"/>
        <v>17</v>
      </c>
      <c r="CK29" s="257">
        <f t="shared" si="7"/>
        <v>22</v>
      </c>
      <c r="CL29" s="257">
        <f t="shared" si="8"/>
        <v>4</v>
      </c>
      <c r="CM29" s="257">
        <f t="shared" si="9"/>
        <v>8</v>
      </c>
      <c r="CN29" s="247">
        <f>45210.5570752773/12</f>
        <v>3767.5464229397749</v>
      </c>
      <c r="CO29" s="247">
        <f t="shared" si="64"/>
        <v>15070.185691759099</v>
      </c>
      <c r="CP29" s="250" t="s">
        <v>133</v>
      </c>
      <c r="CQ29" s="652">
        <f t="shared" si="11"/>
        <v>42295</v>
      </c>
      <c r="CR29" s="380">
        <v>42424</v>
      </c>
      <c r="CS29" s="712">
        <f>DATE(YEAR(CA29)+2,MONTH(CA29),DAY(CA29))</f>
        <v>42797</v>
      </c>
      <c r="CT29" s="380">
        <v>42566</v>
      </c>
      <c r="CU29" s="250">
        <v>42613</v>
      </c>
      <c r="CV29" s="746">
        <v>42577</v>
      </c>
      <c r="CW29" s="390">
        <v>42577</v>
      </c>
      <c r="CX29" s="515">
        <v>2016</v>
      </c>
      <c r="CY29" s="250"/>
      <c r="CZ29" s="212" t="s">
        <v>133</v>
      </c>
      <c r="DA29" s="212"/>
      <c r="DB29" s="212" t="s">
        <v>133</v>
      </c>
      <c r="DC29" s="212" t="s">
        <v>133</v>
      </c>
      <c r="DD29" s="255">
        <v>42768</v>
      </c>
      <c r="DE29" s="133" t="s">
        <v>590</v>
      </c>
      <c r="DF29" s="281">
        <f>DATE(YEAR(CR29)+1,MONTH(CR29),DAY(CR29))</f>
        <v>42790</v>
      </c>
      <c r="DG29" s="255">
        <v>42621</v>
      </c>
      <c r="DH29" s="255">
        <v>42688</v>
      </c>
      <c r="DI29" s="56"/>
      <c r="DJ29" s="56"/>
      <c r="DK29" s="56"/>
      <c r="DL29" s="128" t="s">
        <v>133</v>
      </c>
      <c r="DM29" s="128"/>
      <c r="DN29" s="58" t="s">
        <v>644</v>
      </c>
      <c r="DO29" s="249">
        <v>42808</v>
      </c>
      <c r="DP29" s="249"/>
      <c r="DQ29" s="56"/>
      <c r="DR29" s="56"/>
      <c r="DS29" s="128"/>
      <c r="DT29" s="128"/>
      <c r="DU29" s="128"/>
      <c r="DV29" s="589" t="str">
        <f t="shared" si="13"/>
        <v>0</v>
      </c>
      <c r="DW29" s="128"/>
      <c r="DX29" s="128"/>
      <c r="DY29" s="589" t="str">
        <f t="shared" si="14"/>
        <v>0</v>
      </c>
      <c r="DZ29" s="128"/>
      <c r="EA29" s="128"/>
      <c r="EB29" s="589" t="str">
        <f t="shared" si="15"/>
        <v>0</v>
      </c>
      <c r="EC29" s="128"/>
      <c r="ED29" s="128"/>
      <c r="EE29" s="589" t="str">
        <f t="shared" si="16"/>
        <v>0</v>
      </c>
      <c r="EF29" s="135"/>
      <c r="EG29" s="646"/>
      <c r="EH29" s="589" t="str">
        <f t="shared" si="17"/>
        <v>0</v>
      </c>
      <c r="EI29" s="245"/>
      <c r="EJ29" s="128"/>
      <c r="EK29" s="245"/>
      <c r="EL29" s="589" t="str">
        <f t="shared" si="18"/>
        <v>0</v>
      </c>
      <c r="EM29" s="128"/>
      <c r="EN29" s="245"/>
      <c r="EO29" s="589" t="str">
        <f t="shared" si="19"/>
        <v>0</v>
      </c>
      <c r="EP29" s="128"/>
      <c r="EQ29" s="245"/>
      <c r="ER29" s="589" t="str">
        <f t="shared" si="20"/>
        <v>0</v>
      </c>
      <c r="ES29" s="648"/>
      <c r="ET29" s="644"/>
      <c r="EU29" s="593" t="str">
        <f t="shared" si="21"/>
        <v>0</v>
      </c>
      <c r="EV29" s="135"/>
      <c r="EW29" s="649"/>
      <c r="EX29" s="589" t="str">
        <f t="shared" si="22"/>
        <v>0</v>
      </c>
      <c r="EY29" s="245"/>
      <c r="EZ29" s="128"/>
      <c r="FA29" s="589" t="str">
        <f t="shared" si="23"/>
        <v>0</v>
      </c>
      <c r="FB29" s="120"/>
      <c r="FC29" s="120"/>
      <c r="FD29" s="589" t="str">
        <f t="shared" si="24"/>
        <v>0</v>
      </c>
      <c r="FE29" s="120"/>
      <c r="FF29" s="120"/>
      <c r="FG29" s="589" t="str">
        <f t="shared" si="25"/>
        <v>0</v>
      </c>
      <c r="FH29" s="128"/>
      <c r="FI29" s="128"/>
      <c r="FJ29" s="589" t="str">
        <f t="shared" si="26"/>
        <v>0</v>
      </c>
      <c r="FK29" s="120"/>
      <c r="FL29" s="120"/>
      <c r="FM29" s="120"/>
      <c r="FN29" s="602"/>
      <c r="FO29" s="600"/>
      <c r="FP29" s="598">
        <f t="shared" si="27"/>
        <v>0</v>
      </c>
      <c r="FQ29" s="602"/>
      <c r="FR29" s="602"/>
      <c r="FS29" s="623"/>
      <c r="FT29" s="623"/>
      <c r="FU29" s="627"/>
      <c r="FV29" s="627"/>
      <c r="FW29" s="628">
        <f t="shared" si="28"/>
        <v>0</v>
      </c>
      <c r="FX29" s="628">
        <f t="shared" si="29"/>
        <v>0</v>
      </c>
      <c r="FY29" s="624"/>
      <c r="FZ29" s="641" t="s">
        <v>849</v>
      </c>
      <c r="GA29" s="624"/>
      <c r="GB29" s="624"/>
      <c r="GC29" s="114" t="s">
        <v>125</v>
      </c>
      <c r="GD29" s="723">
        <v>1547410</v>
      </c>
      <c r="GE29" s="10">
        <f t="shared" si="63"/>
        <v>1717613.57</v>
      </c>
      <c r="GF29" s="11">
        <f>GP29+GT29+HA29+HT29</f>
        <v>1715667.57</v>
      </c>
      <c r="GG29" s="12">
        <f t="shared" si="30"/>
        <v>-1946</v>
      </c>
      <c r="GH29" s="12">
        <f t="shared" si="31"/>
        <v>2418.6133557009134</v>
      </c>
      <c r="GI29" s="12">
        <f t="shared" si="32"/>
        <v>190629.73</v>
      </c>
      <c r="GJ29" s="10">
        <v>1337540</v>
      </c>
      <c r="GK29" s="11">
        <v>1322857</v>
      </c>
      <c r="GL29" s="12">
        <f t="shared" si="33"/>
        <v>-14683</v>
      </c>
      <c r="GM29" s="137">
        <f t="shared" si="34"/>
        <v>0.7950730966802968</v>
      </c>
      <c r="GN29" s="138"/>
      <c r="GO29" s="10">
        <v>424314</v>
      </c>
      <c r="GP29" s="11">
        <v>426409</v>
      </c>
      <c r="GQ29" s="23">
        <f t="shared" si="35"/>
        <v>47378.777777777781</v>
      </c>
      <c r="GR29" s="38">
        <f t="shared" si="36"/>
        <v>2095</v>
      </c>
      <c r="GS29" s="10">
        <v>868051</v>
      </c>
      <c r="GT29" s="11">
        <f t="shared" si="37"/>
        <v>864010</v>
      </c>
      <c r="GU29" s="13">
        <v>176535</v>
      </c>
      <c r="GV29" s="13">
        <v>687475</v>
      </c>
      <c r="GW29" s="38">
        <f t="shared" si="38"/>
        <v>-4041</v>
      </c>
      <c r="GX29" s="23">
        <f t="shared" si="39"/>
        <v>96001.111111111109</v>
      </c>
      <c r="GY29" s="11"/>
      <c r="GZ29" s="10">
        <v>225000</v>
      </c>
      <c r="HA29" s="11">
        <v>225000</v>
      </c>
      <c r="HB29" s="70"/>
      <c r="HC29" s="41">
        <f t="shared" si="40"/>
        <v>0.13114428688536672</v>
      </c>
      <c r="HD29" s="329"/>
      <c r="HE29" s="11">
        <v>0</v>
      </c>
      <c r="HF29" s="24">
        <f t="shared" si="62"/>
        <v>0</v>
      </c>
      <c r="HG29" s="23">
        <f t="shared" si="41"/>
        <v>25000</v>
      </c>
      <c r="HH29" s="84"/>
      <c r="HI29" s="24">
        <f t="shared" si="42"/>
        <v>0</v>
      </c>
      <c r="HJ29" s="51"/>
      <c r="HK29" s="51"/>
      <c r="HL29" s="40">
        <v>270120.19565000001</v>
      </c>
      <c r="HM29" s="40">
        <v>180000</v>
      </c>
      <c r="HN29" s="23">
        <f t="shared" si="43"/>
        <v>92378.777777777781</v>
      </c>
      <c r="HO29" s="40">
        <v>0</v>
      </c>
      <c r="HP29" s="23">
        <f t="shared" si="44"/>
        <v>92378.777777777781</v>
      </c>
      <c r="HQ29" s="53">
        <f t="shared" si="45"/>
        <v>0.43368056129305371</v>
      </c>
      <c r="HR29" s="40">
        <v>68687.774999999994</v>
      </c>
      <c r="HS29" s="482"/>
      <c r="HT29" s="483">
        <v>200248.57</v>
      </c>
      <c r="HU29" s="42">
        <f t="shared" si="46"/>
        <v>1985787.76565</v>
      </c>
      <c r="HV29" s="245">
        <v>79167</v>
      </c>
      <c r="HW29" s="245">
        <f t="shared" si="47"/>
        <v>39036</v>
      </c>
      <c r="HX29" s="119"/>
      <c r="HY29" s="245"/>
      <c r="HZ29" s="245"/>
      <c r="IA29" s="119"/>
      <c r="IB29" s="119"/>
      <c r="IC29" s="245"/>
      <c r="ID29" s="119">
        <v>40941</v>
      </c>
      <c r="IE29" s="245">
        <v>16481</v>
      </c>
      <c r="IF29" s="119">
        <v>41254</v>
      </c>
      <c r="IG29" s="245">
        <v>10844</v>
      </c>
      <c r="IH29" s="120">
        <v>41508</v>
      </c>
      <c r="II29" s="350">
        <v>11711</v>
      </c>
      <c r="IJ29" s="341"/>
      <c r="IK29" s="341"/>
      <c r="IL29" s="128"/>
      <c r="IM29" s="245"/>
      <c r="IN29" s="128"/>
      <c r="IO29" s="245"/>
      <c r="IP29" s="120"/>
      <c r="IQ29" s="120"/>
      <c r="IR29" s="120"/>
      <c r="IS29" s="120"/>
      <c r="IT29" s="289"/>
      <c r="IU29" s="289"/>
      <c r="IV29" s="289"/>
      <c r="IW29" s="289"/>
      <c r="IX29" s="289"/>
      <c r="IY29" s="289"/>
      <c r="IZ29" s="245">
        <v>16481</v>
      </c>
      <c r="JA29" s="128"/>
      <c r="JB29" s="120"/>
      <c r="JC29" s="128"/>
      <c r="JD29" s="128"/>
      <c r="JE29" s="120"/>
    </row>
    <row r="30" spans="1:265" ht="24.95" customHeight="1">
      <c r="A30" s="25" t="s">
        <v>360</v>
      </c>
      <c r="B30" s="7" t="s">
        <v>34</v>
      </c>
      <c r="C30" s="7" t="s">
        <v>118</v>
      </c>
      <c r="D30" s="7">
        <v>2013</v>
      </c>
      <c r="E30" s="7" t="s">
        <v>51</v>
      </c>
      <c r="F30" s="7" t="s">
        <v>340</v>
      </c>
      <c r="G30" s="7" t="s">
        <v>519</v>
      </c>
      <c r="H30" s="7" t="s">
        <v>265</v>
      </c>
      <c r="I30" s="56"/>
      <c r="J30" s="56" t="s">
        <v>414</v>
      </c>
      <c r="K30" s="435" t="s">
        <v>722</v>
      </c>
      <c r="L30" s="173" t="s">
        <v>63</v>
      </c>
      <c r="M30" s="109" t="s">
        <v>71</v>
      </c>
      <c r="N30" s="110"/>
      <c r="O30" s="219">
        <v>18523</v>
      </c>
      <c r="P30" s="219">
        <v>492000</v>
      </c>
      <c r="Q30" s="219">
        <v>699015</v>
      </c>
      <c r="R30" s="219">
        <f>P30/AD30</f>
        <v>13297.297297297297</v>
      </c>
      <c r="S30" s="219">
        <f t="shared" si="66"/>
        <v>26.56157209955191</v>
      </c>
      <c r="T30" s="219">
        <f t="shared" si="67"/>
        <v>37.737677482049342</v>
      </c>
      <c r="U30" s="219">
        <f>Q30/(AJ30+AJ66)</f>
        <v>130.86933566983444</v>
      </c>
      <c r="V30" s="219">
        <f>Q30/(AD30+AD66)</f>
        <v>12482.410714285714</v>
      </c>
      <c r="W30" s="219">
        <f>O30/(AD30+AD66)</f>
        <v>330.76785714285717</v>
      </c>
      <c r="X30" s="220"/>
      <c r="Y30" s="221">
        <f>(AJ30+AJ66)/O30</f>
        <v>0.28836149651784265</v>
      </c>
      <c r="Z30" s="220" t="s">
        <v>207</v>
      </c>
      <c r="AA30" s="222"/>
      <c r="AB30" s="223"/>
      <c r="AC30" s="7" t="s">
        <v>15</v>
      </c>
      <c r="AD30" s="345">
        <f t="shared" si="0"/>
        <v>37</v>
      </c>
      <c r="AE30" s="7">
        <v>37</v>
      </c>
      <c r="AF30" s="8"/>
      <c r="AG30" s="67"/>
      <c r="AH30" s="67"/>
      <c r="AI30" s="9">
        <v>3305.14</v>
      </c>
      <c r="AJ30" s="85">
        <v>3681.47</v>
      </c>
      <c r="AK30" s="9">
        <f t="shared" si="1"/>
        <v>99.499189189189181</v>
      </c>
      <c r="AL30" s="62"/>
      <c r="AM30" s="62"/>
      <c r="AN30" s="62"/>
      <c r="AO30" s="62"/>
      <c r="AP30" s="62"/>
      <c r="AQ30" s="9">
        <v>3236</v>
      </c>
      <c r="AR30" s="79"/>
      <c r="AS30" s="81">
        <f t="shared" si="58"/>
        <v>0</v>
      </c>
      <c r="AT30" s="60">
        <v>3.5</v>
      </c>
      <c r="AU30" s="59" t="s">
        <v>621</v>
      </c>
      <c r="AV30" s="20" t="s">
        <v>125</v>
      </c>
      <c r="AW30" s="196">
        <v>41170</v>
      </c>
      <c r="AX30" s="196">
        <v>40963</v>
      </c>
      <c r="AY30" s="113" t="s">
        <v>11</v>
      </c>
      <c r="AZ30" s="113" t="s">
        <v>153</v>
      </c>
      <c r="BA30" s="469"/>
      <c r="BB30" s="216">
        <v>41493</v>
      </c>
      <c r="BC30" s="102"/>
      <c r="BD30" s="102">
        <v>41537</v>
      </c>
      <c r="BE30" s="216">
        <v>41543</v>
      </c>
      <c r="BF30" s="102"/>
      <c r="BG30" s="171">
        <v>41549</v>
      </c>
      <c r="BH30" s="214">
        <v>41576</v>
      </c>
      <c r="BI30" s="172">
        <f t="shared" si="65"/>
        <v>41668</v>
      </c>
      <c r="BJ30" s="172"/>
      <c r="BK30" s="323">
        <v>41659</v>
      </c>
      <c r="BL30" s="322">
        <f t="shared" si="2"/>
        <v>42389</v>
      </c>
      <c r="BM30" s="322">
        <f t="shared" si="3"/>
        <v>42755</v>
      </c>
      <c r="BN30" s="322" t="str">
        <f t="shared" si="61"/>
        <v>oui</v>
      </c>
      <c r="BO30" s="172"/>
      <c r="BP30" s="171">
        <v>41652</v>
      </c>
      <c r="BQ30" s="103"/>
      <c r="BR30" s="104"/>
      <c r="BS30" s="104"/>
      <c r="BT30" s="107"/>
      <c r="BU30" s="167" t="s">
        <v>154</v>
      </c>
      <c r="BV30" s="333">
        <v>41635</v>
      </c>
      <c r="BW30" s="268"/>
      <c r="BX30" s="168">
        <v>13003860.789999999</v>
      </c>
      <c r="BY30" s="174">
        <f t="shared" si="50"/>
        <v>42182</v>
      </c>
      <c r="BZ30" s="268"/>
      <c r="CA30" s="373">
        <v>42159</v>
      </c>
      <c r="CB30" s="268">
        <v>42731</v>
      </c>
      <c r="CC30" s="681">
        <f t="shared" si="68"/>
        <v>-0.9</v>
      </c>
      <c r="CD30" s="511"/>
      <c r="CE30" s="380">
        <v>41801</v>
      </c>
      <c r="CF30" s="374">
        <v>2014</v>
      </c>
      <c r="CG30" s="495">
        <f t="shared" si="4"/>
        <v>10.266666666666667</v>
      </c>
      <c r="CH30" s="256">
        <v>24</v>
      </c>
      <c r="CI30" s="130">
        <f t="shared" si="5"/>
        <v>25</v>
      </c>
      <c r="CJ30" s="257">
        <f t="shared" si="6"/>
        <v>28</v>
      </c>
      <c r="CK30" s="257">
        <f t="shared" si="7"/>
        <v>29</v>
      </c>
      <c r="CL30" s="257">
        <f t="shared" si="8"/>
        <v>4</v>
      </c>
      <c r="CM30" s="257">
        <f t="shared" si="9"/>
        <v>4</v>
      </c>
      <c r="CN30" s="247">
        <f>277640.753085829/12</f>
        <v>23136.729423819084</v>
      </c>
      <c r="CO30" s="247">
        <f t="shared" si="64"/>
        <v>92546.917695276337</v>
      </c>
      <c r="CP30" s="250">
        <v>42538</v>
      </c>
      <c r="CQ30" s="652">
        <f t="shared" si="11"/>
        <v>42532</v>
      </c>
      <c r="CR30" s="380">
        <v>42682</v>
      </c>
      <c r="CS30" s="731">
        <v>42735</v>
      </c>
      <c r="CT30" s="250">
        <v>42726</v>
      </c>
      <c r="CU30" s="250">
        <v>42744</v>
      </c>
      <c r="CV30" s="652">
        <v>42692</v>
      </c>
      <c r="CW30" s="390">
        <v>42704</v>
      </c>
      <c r="CX30" s="515">
        <v>2016</v>
      </c>
      <c r="CY30" s="250">
        <v>42670</v>
      </c>
      <c r="CZ30" s="325" t="s">
        <v>584</v>
      </c>
      <c r="DA30" s="325"/>
      <c r="DB30" s="325" t="s">
        <v>605</v>
      </c>
      <c r="DC30" s="325" t="s">
        <v>332</v>
      </c>
      <c r="DD30" s="325" t="s">
        <v>591</v>
      </c>
      <c r="DE30" s="133" t="s">
        <v>643</v>
      </c>
      <c r="DF30" s="56"/>
      <c r="DG30" s="281">
        <v>42795</v>
      </c>
      <c r="DH30" s="56"/>
      <c r="DI30" s="56"/>
      <c r="DJ30" s="56"/>
      <c r="DK30" s="56"/>
      <c r="DL30" s="281">
        <v>42795</v>
      </c>
      <c r="DM30" s="453" t="s">
        <v>683</v>
      </c>
      <c r="DN30" s="56" t="s">
        <v>470</v>
      </c>
      <c r="DO30" s="249" t="s">
        <v>133</v>
      </c>
      <c r="DP30" s="249"/>
      <c r="DQ30" s="56"/>
      <c r="DR30" s="56"/>
      <c r="DS30" s="128"/>
      <c r="DT30" s="128"/>
      <c r="DU30" s="128"/>
      <c r="DV30" s="589" t="str">
        <f t="shared" si="13"/>
        <v>0</v>
      </c>
      <c r="DW30" s="128"/>
      <c r="DX30" s="128"/>
      <c r="DY30" s="589" t="str">
        <f t="shared" si="14"/>
        <v>0</v>
      </c>
      <c r="DZ30" s="128"/>
      <c r="EA30" s="128"/>
      <c r="EB30" s="589" t="str">
        <f t="shared" si="15"/>
        <v>0</v>
      </c>
      <c r="EC30" s="128"/>
      <c r="ED30" s="128"/>
      <c r="EE30" s="589" t="str">
        <f t="shared" si="16"/>
        <v>0</v>
      </c>
      <c r="EF30" s="135"/>
      <c r="EG30" s="646"/>
      <c r="EH30" s="589" t="str">
        <f t="shared" si="17"/>
        <v>0</v>
      </c>
      <c r="EI30" s="245"/>
      <c r="EJ30" s="128"/>
      <c r="EK30" s="245"/>
      <c r="EL30" s="589" t="str">
        <f t="shared" si="18"/>
        <v>0</v>
      </c>
      <c r="EM30" s="128"/>
      <c r="EN30" s="245"/>
      <c r="EO30" s="589" t="str">
        <f t="shared" si="19"/>
        <v>0</v>
      </c>
      <c r="EP30" s="128"/>
      <c r="EQ30" s="245"/>
      <c r="ER30" s="589" t="str">
        <f t="shared" si="20"/>
        <v>0</v>
      </c>
      <c r="ES30" s="648"/>
      <c r="ET30" s="644"/>
      <c r="EU30" s="593" t="str">
        <f t="shared" si="21"/>
        <v>0</v>
      </c>
      <c r="EV30" s="135"/>
      <c r="EW30" s="649"/>
      <c r="EX30" s="589" t="str">
        <f t="shared" si="22"/>
        <v>0</v>
      </c>
      <c r="EY30" s="128"/>
      <c r="EZ30" s="128"/>
      <c r="FA30" s="589" t="str">
        <f t="shared" si="23"/>
        <v>0</v>
      </c>
      <c r="FB30" s="128"/>
      <c r="FC30" s="128"/>
      <c r="FD30" s="589" t="str">
        <f t="shared" si="24"/>
        <v>0</v>
      </c>
      <c r="FE30" s="128"/>
      <c r="FF30" s="128"/>
      <c r="FG30" s="589" t="str">
        <f t="shared" si="25"/>
        <v>0</v>
      </c>
      <c r="FH30" s="128"/>
      <c r="FI30" s="128"/>
      <c r="FJ30" s="589" t="str">
        <f t="shared" si="26"/>
        <v>0</v>
      </c>
      <c r="FK30" s="128"/>
      <c r="FL30" s="128"/>
      <c r="FM30" s="128"/>
      <c r="FN30" s="600"/>
      <c r="FO30" s="600"/>
      <c r="FP30" s="598">
        <f t="shared" si="27"/>
        <v>0</v>
      </c>
      <c r="FQ30" s="600"/>
      <c r="FR30" s="600"/>
      <c r="FS30" s="623"/>
      <c r="FT30" s="623"/>
      <c r="FU30" s="627"/>
      <c r="FV30" s="627"/>
      <c r="FW30" s="628">
        <f t="shared" si="28"/>
        <v>0</v>
      </c>
      <c r="FX30" s="628">
        <f t="shared" si="29"/>
        <v>0</v>
      </c>
      <c r="FY30" s="624"/>
      <c r="FZ30" s="641"/>
      <c r="GA30" s="624"/>
      <c r="GB30" s="624"/>
      <c r="GC30" s="114" t="s">
        <v>125</v>
      </c>
      <c r="GD30" s="729">
        <v>6447379</v>
      </c>
      <c r="GE30" s="10">
        <f t="shared" si="63"/>
        <v>6447379</v>
      </c>
      <c r="GF30" s="11">
        <f>GP30+GT30+HA30+HT30+HB30+HE30</f>
        <v>7137960</v>
      </c>
      <c r="GG30" s="12">
        <f t="shared" si="30"/>
        <v>690581</v>
      </c>
      <c r="GH30" s="12">
        <f t="shared" si="31"/>
        <v>2159.6543565476804</v>
      </c>
      <c r="GI30" s="12">
        <f t="shared" si="32"/>
        <v>192917.83783783784</v>
      </c>
      <c r="GJ30" s="10">
        <v>5795250</v>
      </c>
      <c r="GK30" s="11">
        <v>6458898</v>
      </c>
      <c r="GL30" s="12">
        <f t="shared" si="33"/>
        <v>663648</v>
      </c>
      <c r="GM30" s="137">
        <f t="shared" si="34"/>
        <v>0.91772955335803885</v>
      </c>
      <c r="GN30" s="138"/>
      <c r="GO30" s="10">
        <v>2155832</v>
      </c>
      <c r="GP30" s="11">
        <v>2453735</v>
      </c>
      <c r="GQ30" s="23">
        <f t="shared" si="35"/>
        <v>66317.16216216216</v>
      </c>
      <c r="GR30" s="38">
        <f t="shared" si="36"/>
        <v>297903</v>
      </c>
      <c r="GS30" s="10">
        <v>4291546</v>
      </c>
      <c r="GT30" s="70">
        <f t="shared" si="37"/>
        <v>4684224</v>
      </c>
      <c r="GU30" s="13">
        <v>641413</v>
      </c>
      <c r="GV30" s="13">
        <v>4042811</v>
      </c>
      <c r="GW30" s="38">
        <f t="shared" si="38"/>
        <v>392678</v>
      </c>
      <c r="GX30" s="23">
        <f t="shared" si="39"/>
        <v>126600.64864864865</v>
      </c>
      <c r="GY30" s="11"/>
      <c r="GZ30" s="10">
        <v>1</v>
      </c>
      <c r="HA30" s="11">
        <v>1</v>
      </c>
      <c r="HB30" s="70"/>
      <c r="HC30" s="41">
        <f t="shared" si="40"/>
        <v>1.4009604985177837E-7</v>
      </c>
      <c r="HD30" s="329"/>
      <c r="HE30" s="11">
        <v>0</v>
      </c>
      <c r="HF30" s="24">
        <f t="shared" si="62"/>
        <v>0</v>
      </c>
      <c r="HG30" s="23">
        <f t="shared" si="41"/>
        <v>2.7027027027027029E-2</v>
      </c>
      <c r="HH30" s="52"/>
      <c r="HI30" s="24">
        <f t="shared" si="42"/>
        <v>0</v>
      </c>
      <c r="HJ30" s="51"/>
      <c r="HK30" s="51"/>
      <c r="HL30" s="40">
        <v>2196102.662575</v>
      </c>
      <c r="HM30" s="40">
        <v>1303101.6922500001</v>
      </c>
      <c r="HN30" s="23">
        <f t="shared" si="43"/>
        <v>101536.15384459461</v>
      </c>
      <c r="HO30" s="40">
        <v>0</v>
      </c>
      <c r="HP30" s="23">
        <f t="shared" si="44"/>
        <v>101536.15384459461</v>
      </c>
      <c r="HQ30" s="53">
        <f t="shared" si="45"/>
        <v>0.41994795777936861</v>
      </c>
      <c r="HR30" s="40">
        <v>388102.52</v>
      </c>
      <c r="HS30" s="40"/>
      <c r="HT30" s="483">
        <v>0</v>
      </c>
      <c r="HU30" s="99">
        <f t="shared" si="46"/>
        <v>9334062.662574999</v>
      </c>
      <c r="HV30" s="245">
        <v>657747</v>
      </c>
      <c r="HW30" s="245">
        <f t="shared" si="47"/>
        <v>328481</v>
      </c>
      <c r="HX30" s="119">
        <v>40945</v>
      </c>
      <c r="HY30" s="245">
        <v>42492</v>
      </c>
      <c r="HZ30" s="245"/>
      <c r="IA30" s="119"/>
      <c r="IB30" s="119"/>
      <c r="IC30" s="245"/>
      <c r="ID30" s="119">
        <v>41407</v>
      </c>
      <c r="IE30" s="245">
        <v>121749</v>
      </c>
      <c r="IF30" s="119">
        <v>41485</v>
      </c>
      <c r="IG30" s="245">
        <v>65696</v>
      </c>
      <c r="IH30" s="120">
        <v>41570</v>
      </c>
      <c r="II30" s="350">
        <v>98544</v>
      </c>
      <c r="IJ30" s="341"/>
      <c r="IK30" s="341"/>
      <c r="IL30" s="128"/>
      <c r="IM30" s="245"/>
      <c r="IN30" s="128"/>
      <c r="IO30" s="245"/>
      <c r="IP30" s="120"/>
      <c r="IQ30" s="120"/>
      <c r="IR30" s="120"/>
      <c r="IS30" s="120"/>
      <c r="IT30" s="289"/>
      <c r="IU30" s="289"/>
      <c r="IV30" s="289"/>
      <c r="IW30" s="289"/>
      <c r="IX30" s="289"/>
      <c r="IY30" s="289"/>
      <c r="IZ30" s="245">
        <v>121749</v>
      </c>
      <c r="JA30" s="128"/>
      <c r="JB30" s="120"/>
      <c r="JC30" s="128"/>
      <c r="JD30" s="128"/>
      <c r="JE30" s="120"/>
    </row>
    <row r="31" spans="1:265" ht="35.25" customHeight="1">
      <c r="A31" s="25" t="s">
        <v>363</v>
      </c>
      <c r="B31" s="7" t="s">
        <v>48</v>
      </c>
      <c r="C31" s="7" t="s">
        <v>118</v>
      </c>
      <c r="D31" s="7">
        <v>2013</v>
      </c>
      <c r="E31" s="7" t="s">
        <v>49</v>
      </c>
      <c r="F31" s="7" t="s">
        <v>340</v>
      </c>
      <c r="G31" s="7"/>
      <c r="H31" s="7"/>
      <c r="I31" s="56"/>
      <c r="J31" s="56"/>
      <c r="K31" s="275"/>
      <c r="L31" s="173" t="s">
        <v>64</v>
      </c>
      <c r="M31" s="109"/>
      <c r="N31" s="110"/>
      <c r="O31" s="219">
        <v>20161</v>
      </c>
      <c r="P31" s="219">
        <v>1550000</v>
      </c>
      <c r="Q31" s="219">
        <v>1105335</v>
      </c>
      <c r="R31" s="219">
        <f>P31/(110)</f>
        <v>14090.90909090909</v>
      </c>
      <c r="S31" s="219">
        <f t="shared" si="66"/>
        <v>76.88110708794207</v>
      </c>
      <c r="T31" s="219">
        <f t="shared" si="67"/>
        <v>54.825405485838999</v>
      </c>
      <c r="U31" s="219">
        <f>Q31/(AJ31+AJ128)</f>
        <v>392.66733926833251</v>
      </c>
      <c r="V31" s="219">
        <f>Q31/(110)</f>
        <v>10048.5</v>
      </c>
      <c r="W31" s="219">
        <f>O31/(AD31+AD130)</f>
        <v>746.7037037037037</v>
      </c>
      <c r="X31" s="220"/>
      <c r="Y31" s="221">
        <f>(AJ31+AJ128)/O31</f>
        <v>0.13962303457169783</v>
      </c>
      <c r="Z31" s="220" t="s">
        <v>205</v>
      </c>
      <c r="AA31" s="222">
        <v>460</v>
      </c>
      <c r="AB31" s="223"/>
      <c r="AC31" s="7" t="s">
        <v>15</v>
      </c>
      <c r="AD31" s="345">
        <f t="shared" si="0"/>
        <v>27</v>
      </c>
      <c r="AE31" s="7">
        <v>27</v>
      </c>
      <c r="AF31" s="8"/>
      <c r="AG31" s="67"/>
      <c r="AH31" s="67"/>
      <c r="AI31" s="9">
        <v>2870.27</v>
      </c>
      <c r="AJ31" s="85">
        <v>2814.94</v>
      </c>
      <c r="AK31" s="9">
        <f t="shared" si="1"/>
        <v>104.25703703703704</v>
      </c>
      <c r="AL31" s="81">
        <v>0</v>
      </c>
      <c r="AM31" s="81">
        <v>0</v>
      </c>
      <c r="AN31" s="81">
        <v>0</v>
      </c>
      <c r="AO31" s="81">
        <f>19/AE31</f>
        <v>0.70370370370370372</v>
      </c>
      <c r="AP31" s="81">
        <f>8/AE31</f>
        <v>0.29629629629629628</v>
      </c>
      <c r="AQ31" s="9">
        <v>12480</v>
      </c>
      <c r="AR31" s="79"/>
      <c r="AS31" s="81">
        <f t="shared" si="58"/>
        <v>0</v>
      </c>
      <c r="AT31" s="60">
        <v>3.5</v>
      </c>
      <c r="AU31" s="59" t="s">
        <v>621</v>
      </c>
      <c r="AV31" s="7" t="s">
        <v>125</v>
      </c>
      <c r="AW31" s="196">
        <v>41170</v>
      </c>
      <c r="AX31" s="196">
        <v>41348</v>
      </c>
      <c r="AY31" s="113" t="s">
        <v>11</v>
      </c>
      <c r="AZ31" s="113" t="s">
        <v>255</v>
      </c>
      <c r="BA31" s="469"/>
      <c r="BB31" s="216">
        <v>41493</v>
      </c>
      <c r="BC31" s="102"/>
      <c r="BD31" s="102">
        <v>41747</v>
      </c>
      <c r="BE31" s="216">
        <v>42160</v>
      </c>
      <c r="BF31" s="102"/>
      <c r="BG31" s="171">
        <v>42163</v>
      </c>
      <c r="BH31" s="214">
        <v>42171</v>
      </c>
      <c r="BI31" s="172">
        <v>42263</v>
      </c>
      <c r="BJ31" s="172">
        <v>42192</v>
      </c>
      <c r="BK31" s="323">
        <v>42255</v>
      </c>
      <c r="BL31" s="322">
        <f t="shared" si="2"/>
        <v>42986</v>
      </c>
      <c r="BM31" s="322">
        <f t="shared" si="3"/>
        <v>43351</v>
      </c>
      <c r="BN31" s="322" t="str">
        <f t="shared" si="61"/>
        <v>oui</v>
      </c>
      <c r="BO31" s="172" t="s">
        <v>133</v>
      </c>
      <c r="BP31" s="171" t="s">
        <v>344</v>
      </c>
      <c r="BQ31" s="103" t="s">
        <v>177</v>
      </c>
      <c r="BR31" s="103"/>
      <c r="BS31" s="104" t="s">
        <v>177</v>
      </c>
      <c r="BT31" s="104" t="s">
        <v>177</v>
      </c>
      <c r="BU31" s="167" t="s">
        <v>154</v>
      </c>
      <c r="BV31" s="333">
        <v>42360</v>
      </c>
      <c r="BW31" s="268"/>
      <c r="BX31" s="168">
        <v>18979814</v>
      </c>
      <c r="BY31" s="174">
        <f t="shared" si="50"/>
        <v>42908</v>
      </c>
      <c r="BZ31" s="268">
        <f>DATE(YEAR(BV31),MONTH(BV31)+24,DAY(BV31))</f>
        <v>43091</v>
      </c>
      <c r="CA31" s="373">
        <v>42360</v>
      </c>
      <c r="CB31" s="268">
        <v>43081</v>
      </c>
      <c r="CC31" s="681">
        <f t="shared" si="68"/>
        <v>-0.43333333333333335</v>
      </c>
      <c r="CD31" s="511"/>
      <c r="CE31" s="380">
        <v>42139</v>
      </c>
      <c r="CF31" s="376">
        <v>2015</v>
      </c>
      <c r="CG31" s="496">
        <f t="shared" si="4"/>
        <v>21.533333333333335</v>
      </c>
      <c r="CH31" s="256">
        <v>24</v>
      </c>
      <c r="CI31" s="256">
        <f t="shared" si="5"/>
        <v>25</v>
      </c>
      <c r="CJ31" s="257">
        <f t="shared" si="6"/>
        <v>29</v>
      </c>
      <c r="CK31" s="257">
        <f t="shared" si="7"/>
        <v>30</v>
      </c>
      <c r="CL31" s="257">
        <f t="shared" si="8"/>
        <v>5</v>
      </c>
      <c r="CM31" s="257">
        <f t="shared" si="9"/>
        <v>5</v>
      </c>
      <c r="CN31" s="247">
        <f>209989.369681134/12</f>
        <v>17499.114140094502</v>
      </c>
      <c r="CO31" s="247">
        <f t="shared" si="64"/>
        <v>87495.570700472512</v>
      </c>
      <c r="CP31" s="250">
        <v>42712</v>
      </c>
      <c r="CQ31" s="652">
        <f t="shared" si="11"/>
        <v>42870</v>
      </c>
      <c r="CR31" s="446">
        <v>43038</v>
      </c>
      <c r="CS31" s="731">
        <f>DATE(YEAR(CA31)+2,MONTH(CA31),DAY(CA31))</f>
        <v>43091</v>
      </c>
      <c r="CT31" s="343">
        <v>43075</v>
      </c>
      <c r="CU31" s="250"/>
      <c r="CV31" s="697">
        <v>43066</v>
      </c>
      <c r="CW31" s="672">
        <v>43068</v>
      </c>
      <c r="CX31" s="515">
        <v>2017</v>
      </c>
      <c r="CY31" s="343">
        <v>42978</v>
      </c>
      <c r="CZ31" s="127"/>
      <c r="DA31" s="127"/>
      <c r="DB31" s="127"/>
      <c r="DC31" s="127"/>
      <c r="DD31" s="127"/>
      <c r="DE31" s="56"/>
      <c r="DF31" s="56"/>
      <c r="DG31" s="127"/>
      <c r="DH31" s="127"/>
      <c r="DI31" s="127"/>
      <c r="DJ31" s="127"/>
      <c r="DK31" s="56"/>
      <c r="DL31" s="56"/>
      <c r="DM31" s="56"/>
      <c r="DN31" s="196"/>
      <c r="DO31" s="56" t="s">
        <v>729</v>
      </c>
      <c r="DP31" s="56"/>
      <c r="DQ31" s="56"/>
      <c r="DR31" s="56"/>
      <c r="DS31" s="128"/>
      <c r="DT31" s="120"/>
      <c r="DU31" s="120"/>
      <c r="DV31" s="589" t="str">
        <f t="shared" si="13"/>
        <v>0</v>
      </c>
      <c r="DW31" s="128"/>
      <c r="DX31" s="128"/>
      <c r="DY31" s="589" t="str">
        <f t="shared" si="14"/>
        <v>0</v>
      </c>
      <c r="DZ31" s="135"/>
      <c r="EA31" s="128"/>
      <c r="EB31" s="589" t="str">
        <f t="shared" si="15"/>
        <v>0</v>
      </c>
      <c r="EC31" s="135"/>
      <c r="ED31" s="128"/>
      <c r="EE31" s="589" t="str">
        <f t="shared" si="16"/>
        <v>0</v>
      </c>
      <c r="EF31" s="135"/>
      <c r="EG31" s="646"/>
      <c r="EH31" s="589" t="str">
        <f t="shared" si="17"/>
        <v>0</v>
      </c>
      <c r="EI31" s="245"/>
      <c r="EJ31" s="128"/>
      <c r="EK31" s="245"/>
      <c r="EL31" s="589" t="str">
        <f t="shared" si="18"/>
        <v>0</v>
      </c>
      <c r="EM31" s="128"/>
      <c r="EN31" s="245"/>
      <c r="EO31" s="589" t="str">
        <f t="shared" si="19"/>
        <v>0</v>
      </c>
      <c r="EP31" s="128"/>
      <c r="EQ31" s="245"/>
      <c r="ER31" s="589" t="str">
        <f t="shared" si="20"/>
        <v>0</v>
      </c>
      <c r="ES31" s="648"/>
      <c r="ET31" s="644"/>
      <c r="EU31" s="593" t="str">
        <f t="shared" si="21"/>
        <v>0</v>
      </c>
      <c r="EV31" s="135"/>
      <c r="EW31" s="649"/>
      <c r="EX31" s="589" t="str">
        <f t="shared" si="22"/>
        <v>0</v>
      </c>
      <c r="EY31" s="245"/>
      <c r="EZ31" s="128"/>
      <c r="FA31" s="589" t="str">
        <f t="shared" si="23"/>
        <v>0</v>
      </c>
      <c r="FB31" s="120"/>
      <c r="FC31" s="120"/>
      <c r="FD31" s="589" t="str">
        <f t="shared" si="24"/>
        <v>0</v>
      </c>
      <c r="FE31" s="120"/>
      <c r="FF31" s="120"/>
      <c r="FG31" s="589" t="str">
        <f t="shared" si="25"/>
        <v>0</v>
      </c>
      <c r="FH31" s="119"/>
      <c r="FI31" s="120"/>
      <c r="FJ31" s="589" t="str">
        <f t="shared" si="26"/>
        <v>0</v>
      </c>
      <c r="FK31" s="120"/>
      <c r="FL31" s="120"/>
      <c r="FM31" s="120"/>
      <c r="FN31" s="602"/>
      <c r="FO31" s="600"/>
      <c r="FP31" s="598">
        <f t="shared" si="27"/>
        <v>0</v>
      </c>
      <c r="FQ31" s="602"/>
      <c r="FR31" s="602"/>
      <c r="FS31" s="623"/>
      <c r="FT31" s="623"/>
      <c r="FU31" s="627"/>
      <c r="FV31" s="627"/>
      <c r="FW31" s="628">
        <f t="shared" si="28"/>
        <v>0</v>
      </c>
      <c r="FX31" s="628">
        <f t="shared" si="29"/>
        <v>0</v>
      </c>
      <c r="FY31" s="624"/>
      <c r="FZ31" s="641"/>
      <c r="GA31" s="624"/>
      <c r="GB31" s="624"/>
      <c r="GC31" s="114" t="s">
        <v>125</v>
      </c>
      <c r="GD31" s="723">
        <v>5545807</v>
      </c>
      <c r="GE31" s="10">
        <f t="shared" si="63"/>
        <v>5546805</v>
      </c>
      <c r="GF31" s="11">
        <f>GP31+GT31+HA31+HT31+HB31+HE31</f>
        <v>5488129.9500000002</v>
      </c>
      <c r="GG31" s="12">
        <f t="shared" si="30"/>
        <v>-58675.049999999814</v>
      </c>
      <c r="GH31" s="12">
        <f t="shared" si="31"/>
        <v>1912.0605204388437</v>
      </c>
      <c r="GI31" s="12">
        <f t="shared" si="32"/>
        <v>203264.07222222222</v>
      </c>
      <c r="GJ31" s="10">
        <v>5057320</v>
      </c>
      <c r="GK31" s="11">
        <v>4965430</v>
      </c>
      <c r="GL31" s="12">
        <f t="shared" si="33"/>
        <v>-91890</v>
      </c>
      <c r="GM31" s="137">
        <f t="shared" si="34"/>
        <v>0.93090053102641968</v>
      </c>
      <c r="GN31" s="138"/>
      <c r="GO31" s="10">
        <v>1882322</v>
      </c>
      <c r="GP31" s="11">
        <v>1916369</v>
      </c>
      <c r="GQ31" s="23">
        <f t="shared" si="35"/>
        <v>70976.629629629635</v>
      </c>
      <c r="GR31" s="38">
        <f t="shared" si="36"/>
        <v>34047</v>
      </c>
      <c r="GS31" s="10">
        <v>3664482</v>
      </c>
      <c r="GT31" s="11">
        <f t="shared" si="37"/>
        <v>3571759.95</v>
      </c>
      <c r="GU31" s="13">
        <v>595108</v>
      </c>
      <c r="GV31" s="13">
        <v>2976651.95</v>
      </c>
      <c r="GW31" s="38">
        <f t="shared" si="38"/>
        <v>-92722.049999999814</v>
      </c>
      <c r="GX31" s="23">
        <f t="shared" si="39"/>
        <v>132287.40555555557</v>
      </c>
      <c r="GY31" s="11"/>
      <c r="GZ31" s="10">
        <v>1</v>
      </c>
      <c r="HA31" s="11">
        <v>1</v>
      </c>
      <c r="HB31" s="70"/>
      <c r="HC31" s="41">
        <f t="shared" si="40"/>
        <v>1.8221142886749611E-7</v>
      </c>
      <c r="HD31" s="329"/>
      <c r="HE31" s="11">
        <v>0</v>
      </c>
      <c r="HF31" s="24">
        <f t="shared" si="62"/>
        <v>0</v>
      </c>
      <c r="HG31" s="23">
        <f t="shared" si="41"/>
        <v>3.7037037037037035E-2</v>
      </c>
      <c r="HH31" s="52"/>
      <c r="HI31" s="24">
        <f t="shared" si="42"/>
        <v>0</v>
      </c>
      <c r="HJ31" s="51"/>
      <c r="HK31" s="51"/>
      <c r="HL31" s="40">
        <v>1015690.2065916295</v>
      </c>
      <c r="HM31" s="40">
        <v>540000</v>
      </c>
      <c r="HN31" s="23">
        <f t="shared" si="43"/>
        <v>90976.666666666672</v>
      </c>
      <c r="HO31" s="40">
        <v>0</v>
      </c>
      <c r="HP31" s="23">
        <f t="shared" si="44"/>
        <v>90976.666666666672</v>
      </c>
      <c r="HQ31" s="53">
        <f t="shared" si="45"/>
        <v>0.39970846321114534</v>
      </c>
      <c r="HR31" s="40">
        <v>358416.12820000004</v>
      </c>
      <c r="HS31" s="40"/>
      <c r="HT31" s="11">
        <v>0</v>
      </c>
      <c r="HU31" s="42">
        <f t="shared" si="46"/>
        <v>6503820.1565916296</v>
      </c>
      <c r="HV31" s="245">
        <v>965006</v>
      </c>
      <c r="HW31" s="245">
        <f t="shared" si="47"/>
        <v>482504</v>
      </c>
      <c r="HX31" s="119">
        <v>41090</v>
      </c>
      <c r="HY31" s="245">
        <v>96501</v>
      </c>
      <c r="HZ31" s="245"/>
      <c r="IA31" s="119"/>
      <c r="IB31" s="119">
        <v>41401</v>
      </c>
      <c r="IC31" s="245">
        <v>48250</v>
      </c>
      <c r="ID31" s="119">
        <v>41262</v>
      </c>
      <c r="IE31" s="245">
        <v>96501</v>
      </c>
      <c r="IF31" s="119">
        <v>41485</v>
      </c>
      <c r="IG31" s="245">
        <v>96501</v>
      </c>
      <c r="IH31" s="120">
        <v>41570</v>
      </c>
      <c r="II31" s="350">
        <v>144751</v>
      </c>
      <c r="IJ31" s="341"/>
      <c r="IK31" s="341"/>
      <c r="IL31" s="128"/>
      <c r="IM31" s="245"/>
      <c r="IN31" s="128"/>
      <c r="IO31" s="245"/>
      <c r="IP31" s="120"/>
      <c r="IQ31" s="120"/>
      <c r="IR31" s="120"/>
      <c r="IS31" s="120"/>
      <c r="IT31" s="289"/>
      <c r="IU31" s="289"/>
      <c r="IV31" s="252"/>
      <c r="IW31" s="312"/>
      <c r="IX31" s="252"/>
      <c r="IY31" s="312"/>
      <c r="IZ31" s="245">
        <v>96501</v>
      </c>
      <c r="JA31" s="128"/>
      <c r="JB31" s="120"/>
      <c r="JC31" s="128"/>
      <c r="JD31" s="128"/>
      <c r="JE31" s="120"/>
    </row>
    <row r="32" spans="1:265" ht="165" customHeight="1">
      <c r="A32" s="25" t="s">
        <v>33</v>
      </c>
      <c r="B32" s="7" t="s">
        <v>31</v>
      </c>
      <c r="C32" s="7" t="s">
        <v>117</v>
      </c>
      <c r="D32" s="7">
        <v>2013</v>
      </c>
      <c r="E32" s="7" t="s">
        <v>32</v>
      </c>
      <c r="F32" s="7" t="s">
        <v>30</v>
      </c>
      <c r="G32" s="7" t="s">
        <v>519</v>
      </c>
      <c r="H32" s="7" t="s">
        <v>265</v>
      </c>
      <c r="I32" s="56"/>
      <c r="J32" s="56"/>
      <c r="K32" s="275" t="s">
        <v>549</v>
      </c>
      <c r="L32" s="460" t="s">
        <v>64</v>
      </c>
      <c r="M32" s="460" t="s">
        <v>132</v>
      </c>
      <c r="N32" s="460" t="s">
        <v>133</v>
      </c>
      <c r="O32" s="219">
        <v>4625</v>
      </c>
      <c r="P32" s="219">
        <v>215000</v>
      </c>
      <c r="Q32" s="219">
        <v>104244</v>
      </c>
      <c r="R32" s="219">
        <f>P32/AD32</f>
        <v>15357.142857142857</v>
      </c>
      <c r="S32" s="219">
        <f t="shared" si="66"/>
        <v>46.486486486486484</v>
      </c>
      <c r="T32" s="219">
        <f t="shared" si="67"/>
        <v>22.539243243243245</v>
      </c>
      <c r="U32" s="219">
        <f t="shared" ref="U32:U62" si="69">Q32/AJ32</f>
        <v>91.472596128534079</v>
      </c>
      <c r="V32" s="219">
        <f t="shared" ref="V32:V62" si="70">Q32/AD32</f>
        <v>7446</v>
      </c>
      <c r="W32" s="219">
        <f t="shared" ref="W32:W62" si="71">O32/AD32</f>
        <v>330.35714285714283</v>
      </c>
      <c r="X32" s="220">
        <v>1148.97</v>
      </c>
      <c r="Y32" s="221">
        <f t="shared" ref="Y32:Y62" si="72">AJ32/O32</f>
        <v>0.2464043243243243</v>
      </c>
      <c r="Z32" s="220" t="s">
        <v>218</v>
      </c>
      <c r="AA32" s="222">
        <v>20</v>
      </c>
      <c r="AB32" s="223"/>
      <c r="AC32" s="7" t="s">
        <v>16</v>
      </c>
      <c r="AD32" s="345">
        <f t="shared" si="0"/>
        <v>14</v>
      </c>
      <c r="AE32" s="8"/>
      <c r="AF32" s="7">
        <v>14</v>
      </c>
      <c r="AG32" s="56"/>
      <c r="AH32" s="56"/>
      <c r="AI32" s="9">
        <v>1044.56</v>
      </c>
      <c r="AJ32" s="85">
        <v>1139.6199999999999</v>
      </c>
      <c r="AK32" s="9">
        <f t="shared" si="1"/>
        <v>81.401428571428568</v>
      </c>
      <c r="AL32" s="62"/>
      <c r="AM32" s="62"/>
      <c r="AN32" s="62"/>
      <c r="AO32" s="62"/>
      <c r="AP32" s="62"/>
      <c r="AQ32" s="9"/>
      <c r="AR32" s="79">
        <v>551.16</v>
      </c>
      <c r="AS32" s="81">
        <f t="shared" si="58"/>
        <v>0.11916972972972972</v>
      </c>
      <c r="AT32" s="62">
        <v>1.5</v>
      </c>
      <c r="AU32" s="56" t="s">
        <v>620</v>
      </c>
      <c r="AV32" s="7" t="s">
        <v>126</v>
      </c>
      <c r="AW32" s="196">
        <v>41233</v>
      </c>
      <c r="AX32" s="196">
        <v>40963</v>
      </c>
      <c r="AY32" s="113" t="s">
        <v>11</v>
      </c>
      <c r="AZ32" s="113" t="s">
        <v>131</v>
      </c>
      <c r="BA32" s="469"/>
      <c r="BB32" s="216">
        <v>41515</v>
      </c>
      <c r="BC32" s="102"/>
      <c r="BD32" s="102">
        <v>41535</v>
      </c>
      <c r="BE32" s="216">
        <v>41544</v>
      </c>
      <c r="BF32" s="102"/>
      <c r="BG32" s="171">
        <v>41549</v>
      </c>
      <c r="BH32" s="214">
        <v>41575</v>
      </c>
      <c r="BI32" s="172">
        <f>DATE(YEAR(BH32),MONTH(BH32)+3,DAY(BH32))</f>
        <v>41667</v>
      </c>
      <c r="BJ32" s="172"/>
      <c r="BK32" s="323">
        <v>41659</v>
      </c>
      <c r="BL32" s="322">
        <f t="shared" si="2"/>
        <v>42389</v>
      </c>
      <c r="BM32" s="322">
        <f t="shared" si="3"/>
        <v>42755</v>
      </c>
      <c r="BN32" s="322" t="str">
        <f t="shared" si="61"/>
        <v>non</v>
      </c>
      <c r="BO32" s="172"/>
      <c r="BP32" s="471" t="s">
        <v>211</v>
      </c>
      <c r="BQ32" s="103"/>
      <c r="BR32" s="107"/>
      <c r="BS32" s="107"/>
      <c r="BT32" s="107"/>
      <c r="BU32" s="167" t="s">
        <v>149</v>
      </c>
      <c r="BV32" s="333">
        <v>41625</v>
      </c>
      <c r="BW32" s="268"/>
      <c r="BX32" s="168">
        <v>2345333.9</v>
      </c>
      <c r="BY32" s="174">
        <f t="shared" si="50"/>
        <v>42172</v>
      </c>
      <c r="BZ32" s="268">
        <f>DATE(YEAR(BV32),MONTH(BV32)+24,DAY(BV32))</f>
        <v>42355</v>
      </c>
      <c r="CA32" s="373">
        <v>41977</v>
      </c>
      <c r="CB32" s="268">
        <v>42262</v>
      </c>
      <c r="CC32" s="681">
        <f t="shared" si="68"/>
        <v>1.7</v>
      </c>
      <c r="CD32" s="511"/>
      <c r="CE32" s="380">
        <v>41848</v>
      </c>
      <c r="CF32" s="374">
        <v>2014</v>
      </c>
      <c r="CG32" s="495">
        <f t="shared" si="4"/>
        <v>11.1</v>
      </c>
      <c r="CH32" s="256">
        <v>14</v>
      </c>
      <c r="CI32" s="256">
        <f t="shared" si="5"/>
        <v>15</v>
      </c>
      <c r="CJ32" s="256">
        <f t="shared" si="6"/>
        <v>14</v>
      </c>
      <c r="CK32" s="256">
        <f t="shared" si="7"/>
        <v>15</v>
      </c>
      <c r="CL32" s="256">
        <f t="shared" si="8"/>
        <v>0</v>
      </c>
      <c r="CM32" s="256">
        <f t="shared" si="9"/>
        <v>0</v>
      </c>
      <c r="CN32" s="259">
        <f>73432.856036765/12</f>
        <v>6119.4046697304175</v>
      </c>
      <c r="CO32" s="259">
        <f t="shared" si="64"/>
        <v>0</v>
      </c>
      <c r="CP32" s="250" t="s">
        <v>133</v>
      </c>
      <c r="CQ32" s="652">
        <f t="shared" si="11"/>
        <v>42275</v>
      </c>
      <c r="CR32" s="380">
        <v>42276</v>
      </c>
      <c r="CS32" s="745"/>
      <c r="CT32" s="382">
        <v>42333</v>
      </c>
      <c r="CU32" s="121">
        <v>42530</v>
      </c>
      <c r="CV32" s="703" t="e">
        <f>DATE(YEAR(#REF!),MONTH(#REF!),DAY(#REF!)+10)</f>
        <v>#REF!</v>
      </c>
      <c r="CW32" s="390">
        <v>42313</v>
      </c>
      <c r="CX32" s="515">
        <v>2015</v>
      </c>
      <c r="CY32" s="121"/>
      <c r="CZ32" s="121">
        <v>42725</v>
      </c>
      <c r="DA32" s="121"/>
      <c r="DB32" s="121" t="s">
        <v>133</v>
      </c>
      <c r="DC32" s="121" t="s">
        <v>133</v>
      </c>
      <c r="DD32" s="121">
        <v>42555</v>
      </c>
      <c r="DE32" s="121">
        <v>42870</v>
      </c>
      <c r="DF32" s="121">
        <v>42660</v>
      </c>
      <c r="DG32" s="206">
        <v>42324</v>
      </c>
      <c r="DH32" s="206">
        <v>42402</v>
      </c>
      <c r="DI32" s="312"/>
      <c r="DJ32" s="312"/>
      <c r="DK32" s="56"/>
      <c r="DL32" s="212" t="s">
        <v>637</v>
      </c>
      <c r="DM32" s="212"/>
      <c r="DN32" s="196" t="s">
        <v>679</v>
      </c>
      <c r="DO32" s="249" t="s">
        <v>133</v>
      </c>
      <c r="DP32" s="249"/>
      <c r="DQ32" s="249" t="s">
        <v>133</v>
      </c>
      <c r="DR32" s="56"/>
      <c r="DS32" s="128"/>
      <c r="DT32" s="128"/>
      <c r="DU32" s="128"/>
      <c r="DV32" s="589" t="str">
        <f t="shared" si="13"/>
        <v>0</v>
      </c>
      <c r="DW32" s="128"/>
      <c r="DX32" s="128"/>
      <c r="DY32" s="589" t="str">
        <f t="shared" si="14"/>
        <v>0</v>
      </c>
      <c r="DZ32" s="128"/>
      <c r="EA32" s="128"/>
      <c r="EB32" s="589" t="str">
        <f t="shared" si="15"/>
        <v>0</v>
      </c>
      <c r="EC32" s="128"/>
      <c r="ED32" s="128"/>
      <c r="EE32" s="589" t="str">
        <f t="shared" si="16"/>
        <v>0</v>
      </c>
      <c r="EF32" s="135"/>
      <c r="EG32" s="646"/>
      <c r="EH32" s="589" t="str">
        <f t="shared" si="17"/>
        <v>0</v>
      </c>
      <c r="EI32" s="245"/>
      <c r="EJ32" s="128"/>
      <c r="EK32" s="245"/>
      <c r="EL32" s="589" t="str">
        <f t="shared" si="18"/>
        <v>0</v>
      </c>
      <c r="EM32" s="128"/>
      <c r="EN32" s="245"/>
      <c r="EO32" s="589" t="str">
        <f t="shared" si="19"/>
        <v>0</v>
      </c>
      <c r="EP32" s="128"/>
      <c r="EQ32" s="245"/>
      <c r="ER32" s="589" t="str">
        <f t="shared" si="20"/>
        <v>0</v>
      </c>
      <c r="ES32" s="648"/>
      <c r="ET32" s="644"/>
      <c r="EU32" s="593" t="str">
        <f t="shared" si="21"/>
        <v>0</v>
      </c>
      <c r="EV32" s="135"/>
      <c r="EW32" s="649"/>
      <c r="EX32" s="589" t="str">
        <f t="shared" si="22"/>
        <v>0</v>
      </c>
      <c r="EY32" s="128"/>
      <c r="EZ32" s="128"/>
      <c r="FA32" s="589" t="str">
        <f t="shared" si="23"/>
        <v>0</v>
      </c>
      <c r="FB32" s="128"/>
      <c r="FC32" s="128"/>
      <c r="FD32" s="589" t="str">
        <f t="shared" si="24"/>
        <v>0</v>
      </c>
      <c r="FE32" s="128"/>
      <c r="FF32" s="128"/>
      <c r="FG32" s="589" t="str">
        <f t="shared" si="25"/>
        <v>0</v>
      </c>
      <c r="FH32" s="128"/>
      <c r="FI32" s="128"/>
      <c r="FJ32" s="589" t="str">
        <f t="shared" si="26"/>
        <v>0</v>
      </c>
      <c r="FK32" s="128"/>
      <c r="FL32" s="128"/>
      <c r="FM32" s="128"/>
      <c r="FN32" s="600"/>
      <c r="FO32" s="600"/>
      <c r="FP32" s="598">
        <f t="shared" si="27"/>
        <v>0</v>
      </c>
      <c r="FQ32" s="600"/>
      <c r="FR32" s="600"/>
      <c r="FS32" s="623"/>
      <c r="FT32" s="623"/>
      <c r="FU32" s="627"/>
      <c r="FV32" s="627"/>
      <c r="FW32" s="628">
        <f t="shared" si="28"/>
        <v>0</v>
      </c>
      <c r="FX32" s="628">
        <f t="shared" si="29"/>
        <v>0</v>
      </c>
      <c r="FY32" s="624"/>
      <c r="FZ32" s="641" t="s">
        <v>861</v>
      </c>
      <c r="GA32" s="624"/>
      <c r="GB32" s="624"/>
      <c r="GC32" s="114" t="s">
        <v>125</v>
      </c>
      <c r="GD32" s="723">
        <v>2360150.41</v>
      </c>
      <c r="GE32" s="10">
        <f>+GO32+GS32+GZ32</f>
        <v>2396286</v>
      </c>
      <c r="GF32" s="11">
        <f>GP32+GT32+HA32+HT32</f>
        <v>2426621</v>
      </c>
      <c r="GG32" s="12">
        <f t="shared" si="30"/>
        <v>30335</v>
      </c>
      <c r="GH32" s="12">
        <f t="shared" si="31"/>
        <v>2323.1035076970211</v>
      </c>
      <c r="GI32" s="12">
        <f t="shared" si="32"/>
        <v>173330.07142857142</v>
      </c>
      <c r="GJ32" s="10">
        <v>2112298</v>
      </c>
      <c r="GK32" s="11">
        <v>2153147</v>
      </c>
      <c r="GL32" s="12">
        <f t="shared" si="33"/>
        <v>40849</v>
      </c>
      <c r="GM32" s="137">
        <f t="shared" si="34"/>
        <v>0.89999952342917333</v>
      </c>
      <c r="GN32" s="138"/>
      <c r="GO32" s="10">
        <v>601367</v>
      </c>
      <c r="GP32" s="11">
        <v>642565</v>
      </c>
      <c r="GQ32" s="23">
        <f t="shared" si="35"/>
        <v>45897.5</v>
      </c>
      <c r="GR32" s="38">
        <f t="shared" si="36"/>
        <v>41198</v>
      </c>
      <c r="GS32" s="10">
        <v>1294919</v>
      </c>
      <c r="GT32" s="11">
        <f t="shared" si="37"/>
        <v>1260196</v>
      </c>
      <c r="GU32" s="13">
        <v>284216</v>
      </c>
      <c r="GV32" s="13">
        <v>975980</v>
      </c>
      <c r="GW32" s="38">
        <f t="shared" si="38"/>
        <v>-34723</v>
      </c>
      <c r="GX32" s="23">
        <f t="shared" si="39"/>
        <v>90014</v>
      </c>
      <c r="GY32" s="11"/>
      <c r="GZ32" s="10">
        <v>500000</v>
      </c>
      <c r="HA32" s="11">
        <v>500000</v>
      </c>
      <c r="HB32" s="70"/>
      <c r="HC32" s="41">
        <f t="shared" si="40"/>
        <v>0.20604783359247283</v>
      </c>
      <c r="HD32" s="329"/>
      <c r="HE32" s="11">
        <v>0</v>
      </c>
      <c r="HF32" s="24">
        <f t="shared" si="62"/>
        <v>0</v>
      </c>
      <c r="HG32" s="23">
        <f t="shared" si="41"/>
        <v>35714.285714285717</v>
      </c>
      <c r="HH32" s="52"/>
      <c r="HI32" s="24">
        <f t="shared" si="42"/>
        <v>0</v>
      </c>
      <c r="HJ32" s="51"/>
      <c r="HK32" s="51"/>
      <c r="HL32" s="40">
        <v>461213.14905750001</v>
      </c>
      <c r="HM32" s="40">
        <v>238500</v>
      </c>
      <c r="HN32" s="23">
        <f t="shared" si="43"/>
        <v>98647.5</v>
      </c>
      <c r="HO32" s="40">
        <v>0</v>
      </c>
      <c r="HP32" s="23">
        <f t="shared" si="44"/>
        <v>98647.5</v>
      </c>
      <c r="HQ32" s="53">
        <f t="shared" si="45"/>
        <v>0.49653574328412386</v>
      </c>
      <c r="HR32" s="40">
        <v>106433.17505000001</v>
      </c>
      <c r="HS32" s="40"/>
      <c r="HT32" s="483">
        <v>23860</v>
      </c>
      <c r="HU32" s="42">
        <f t="shared" si="46"/>
        <v>2887834.1490575001</v>
      </c>
      <c r="HV32" s="245">
        <v>118584</v>
      </c>
      <c r="HW32" s="245">
        <f t="shared" si="47"/>
        <v>58369</v>
      </c>
      <c r="HX32" s="119">
        <v>40161</v>
      </c>
      <c r="HY32" s="245">
        <v>7820</v>
      </c>
      <c r="HZ32" s="245"/>
      <c r="IA32" s="119"/>
      <c r="IB32" s="119">
        <v>41267</v>
      </c>
      <c r="IC32" s="245">
        <v>3939</v>
      </c>
      <c r="ID32" s="119">
        <v>41313</v>
      </c>
      <c r="IE32" s="245">
        <v>17030</v>
      </c>
      <c r="IF32" s="119">
        <v>11851</v>
      </c>
      <c r="IG32" s="245">
        <v>11851</v>
      </c>
      <c r="IH32" s="120">
        <v>41547</v>
      </c>
      <c r="II32" s="350">
        <v>17729</v>
      </c>
      <c r="IJ32" s="341"/>
      <c r="IK32" s="341"/>
      <c r="IL32" s="128"/>
      <c r="IM32" s="245"/>
      <c r="IN32" s="128"/>
      <c r="IO32" s="245"/>
      <c r="IP32" s="351"/>
      <c r="IQ32" s="351"/>
      <c r="IR32" s="351"/>
      <c r="IS32" s="351"/>
      <c r="IT32" s="289"/>
      <c r="IU32" s="289"/>
      <c r="IV32" s="289"/>
      <c r="IW32" s="289"/>
      <c r="IX32" s="289"/>
      <c r="IY32" s="289"/>
      <c r="IZ32" s="245">
        <v>17030</v>
      </c>
      <c r="JA32" s="128"/>
      <c r="JB32" s="120"/>
      <c r="JC32" s="128"/>
      <c r="JD32" s="128"/>
      <c r="JE32" s="120"/>
    </row>
    <row r="33" spans="1:265" ht="118.5" customHeight="1">
      <c r="A33" s="25" t="s">
        <v>146</v>
      </c>
      <c r="B33" s="7" t="s">
        <v>41</v>
      </c>
      <c r="C33" s="7" t="s">
        <v>118</v>
      </c>
      <c r="D33" s="7">
        <v>2013</v>
      </c>
      <c r="E33" s="7" t="s">
        <v>42</v>
      </c>
      <c r="F33" s="7" t="s">
        <v>423</v>
      </c>
      <c r="G33" s="7" t="s">
        <v>190</v>
      </c>
      <c r="H33" s="7" t="s">
        <v>428</v>
      </c>
      <c r="I33" s="56"/>
      <c r="J33" s="56"/>
      <c r="K33" s="435" t="s">
        <v>723</v>
      </c>
      <c r="L33" s="173" t="s">
        <v>63</v>
      </c>
      <c r="M33" s="109" t="s">
        <v>148</v>
      </c>
      <c r="N33" s="110">
        <v>41619</v>
      </c>
      <c r="O33" s="219">
        <v>15520</v>
      </c>
      <c r="P33" s="219">
        <v>130195</v>
      </c>
      <c r="Q33" s="219">
        <v>184575</v>
      </c>
      <c r="R33" s="219">
        <f>P33/AD33</f>
        <v>5424.791666666667</v>
      </c>
      <c r="S33" s="219">
        <f t="shared" si="66"/>
        <v>8.3888530927835046</v>
      </c>
      <c r="T33" s="219">
        <f t="shared" si="67"/>
        <v>11.892719072164949</v>
      </c>
      <c r="U33" s="219">
        <f t="shared" si="69"/>
        <v>100.20684712857096</v>
      </c>
      <c r="V33" s="219">
        <f t="shared" si="70"/>
        <v>7690.625</v>
      </c>
      <c r="W33" s="219">
        <f t="shared" si="71"/>
        <v>646.66666666666663</v>
      </c>
      <c r="X33" s="220"/>
      <c r="Y33" s="221">
        <f t="shared" si="72"/>
        <v>0.11868170103092784</v>
      </c>
      <c r="Z33" s="220" t="s">
        <v>220</v>
      </c>
      <c r="AA33" s="222">
        <v>790</v>
      </c>
      <c r="AB33" s="223"/>
      <c r="AC33" s="7" t="s">
        <v>16</v>
      </c>
      <c r="AD33" s="345">
        <f t="shared" si="0"/>
        <v>24</v>
      </c>
      <c r="AE33" s="8"/>
      <c r="AF33" s="7">
        <v>24</v>
      </c>
      <c r="AG33" s="56"/>
      <c r="AH33" s="56"/>
      <c r="AI33" s="9">
        <v>1833.06</v>
      </c>
      <c r="AJ33" s="85">
        <v>1841.94</v>
      </c>
      <c r="AK33" s="9">
        <f t="shared" si="1"/>
        <v>76.747500000000002</v>
      </c>
      <c r="AL33" s="62"/>
      <c r="AM33" s="62"/>
      <c r="AN33" s="62"/>
      <c r="AO33" s="62"/>
      <c r="AP33" s="62"/>
      <c r="AQ33" s="9"/>
      <c r="AR33" s="79">
        <v>700</v>
      </c>
      <c r="AS33" s="81">
        <f t="shared" si="58"/>
        <v>4.5103092783505154E-2</v>
      </c>
      <c r="AT33" s="60">
        <v>1.5</v>
      </c>
      <c r="AU33" s="57" t="s">
        <v>620</v>
      </c>
      <c r="AV33" s="20" t="s">
        <v>126</v>
      </c>
      <c r="AW33" s="56"/>
      <c r="AX33" s="196">
        <v>41346</v>
      </c>
      <c r="AY33" s="113" t="s">
        <v>12</v>
      </c>
      <c r="AZ33" s="113" t="s">
        <v>147</v>
      </c>
      <c r="BA33" s="470">
        <v>120000</v>
      </c>
      <c r="BB33" s="216">
        <v>41536</v>
      </c>
      <c r="BC33" s="102"/>
      <c r="BD33" s="102">
        <v>41564</v>
      </c>
      <c r="BE33" s="216">
        <v>41568</v>
      </c>
      <c r="BF33" s="102"/>
      <c r="BG33" s="171">
        <v>41550</v>
      </c>
      <c r="BH33" s="214">
        <v>41583</v>
      </c>
      <c r="BI33" s="172">
        <f>DATE(YEAR(BH33),MONTH(BH33)+3,DAY(BH33))</f>
        <v>41675</v>
      </c>
      <c r="BJ33" s="172"/>
      <c r="BK33" s="323">
        <v>41659</v>
      </c>
      <c r="BL33" s="322">
        <f t="shared" si="2"/>
        <v>42389</v>
      </c>
      <c r="BM33" s="322">
        <f t="shared" si="3"/>
        <v>42755</v>
      </c>
      <c r="BN33" s="322" t="str">
        <f t="shared" si="61"/>
        <v>oui</v>
      </c>
      <c r="BO33" s="172"/>
      <c r="BP33" s="171">
        <v>41659</v>
      </c>
      <c r="BQ33" s="103"/>
      <c r="BR33" s="104"/>
      <c r="BS33" s="107"/>
      <c r="BT33" s="107"/>
      <c r="BU33" s="167" t="s">
        <v>149</v>
      </c>
      <c r="BV33" s="333">
        <v>41626</v>
      </c>
      <c r="BW33" s="268"/>
      <c r="BX33" s="168">
        <f>3488955.15568/1.021</f>
        <v>3417194.08</v>
      </c>
      <c r="BY33" s="174">
        <f t="shared" si="50"/>
        <v>42173</v>
      </c>
      <c r="BZ33" s="268"/>
      <c r="CA33" s="373">
        <v>42114</v>
      </c>
      <c r="CB33" s="268">
        <v>42292</v>
      </c>
      <c r="CC33" s="681">
        <f t="shared" si="68"/>
        <v>16.066666666666666</v>
      </c>
      <c r="CD33" s="511"/>
      <c r="CE33" s="380">
        <v>41876</v>
      </c>
      <c r="CF33" s="374">
        <v>2014</v>
      </c>
      <c r="CG33" s="495">
        <f t="shared" si="4"/>
        <v>11.333333333333334</v>
      </c>
      <c r="CH33" s="122">
        <v>14</v>
      </c>
      <c r="CI33" s="256">
        <f t="shared" si="5"/>
        <v>15</v>
      </c>
      <c r="CJ33" s="256">
        <f t="shared" si="6"/>
        <v>27</v>
      </c>
      <c r="CK33" s="256">
        <f t="shared" si="7"/>
        <v>29</v>
      </c>
      <c r="CL33" s="256">
        <f t="shared" si="8"/>
        <v>13</v>
      </c>
      <c r="CM33" s="256">
        <f t="shared" si="9"/>
        <v>14</v>
      </c>
      <c r="CN33" s="259">
        <f>115866.7697376/12</f>
        <v>9655.5641448000006</v>
      </c>
      <c r="CO33" s="259">
        <f t="shared" si="64"/>
        <v>125522.33388240001</v>
      </c>
      <c r="CP33" s="250" t="s">
        <v>133</v>
      </c>
      <c r="CQ33" s="652">
        <f t="shared" si="11"/>
        <v>42302</v>
      </c>
      <c r="CR33" s="382">
        <v>42704</v>
      </c>
      <c r="CS33" s="743">
        <f t="shared" ref="CS33:CS43" si="73">DATE(YEAR(CA33)+2,MONTH(CA33),DAY(CA33))</f>
        <v>42845</v>
      </c>
      <c r="CT33" s="382">
        <v>42774</v>
      </c>
      <c r="CU33" s="121" t="s">
        <v>133</v>
      </c>
      <c r="CV33" s="703" t="s">
        <v>133</v>
      </c>
      <c r="CW33" s="390">
        <v>42774</v>
      </c>
      <c r="CX33" s="515">
        <v>2017</v>
      </c>
      <c r="CY33" s="136"/>
      <c r="CZ33" s="125" t="s">
        <v>584</v>
      </c>
      <c r="DA33" s="251" t="s">
        <v>133</v>
      </c>
      <c r="DB33" s="123" t="s">
        <v>585</v>
      </c>
      <c r="DC33" s="123" t="s">
        <v>586</v>
      </c>
      <c r="DD33" s="125"/>
      <c r="DE33" s="251" t="s">
        <v>133</v>
      </c>
      <c r="DF33" s="281">
        <v>43069</v>
      </c>
      <c r="DG33" s="206" t="s">
        <v>133</v>
      </c>
      <c r="DH33" s="206">
        <v>42907</v>
      </c>
      <c r="DI33" s="56"/>
      <c r="DJ33" s="56"/>
      <c r="DK33" s="56"/>
      <c r="DL33" s="56"/>
      <c r="DM33" s="56"/>
      <c r="DN33" s="56" t="s">
        <v>470</v>
      </c>
      <c r="DO33" s="490">
        <v>43003</v>
      </c>
      <c r="DP33" s="56"/>
      <c r="DQ33" s="56"/>
      <c r="DR33" s="56"/>
      <c r="DS33" s="128"/>
      <c r="DT33" s="120"/>
      <c r="DU33" s="120"/>
      <c r="DV33" s="589" t="str">
        <f t="shared" si="13"/>
        <v>0</v>
      </c>
      <c r="DW33" s="128"/>
      <c r="DX33" s="128"/>
      <c r="DY33" s="589" t="str">
        <f t="shared" si="14"/>
        <v>0</v>
      </c>
      <c r="DZ33" s="135"/>
      <c r="EA33" s="128"/>
      <c r="EB33" s="589" t="str">
        <f t="shared" si="15"/>
        <v>0</v>
      </c>
      <c r="EC33" s="135"/>
      <c r="ED33" s="128"/>
      <c r="EE33" s="589" t="str">
        <f t="shared" si="16"/>
        <v>0</v>
      </c>
      <c r="EF33" s="135"/>
      <c r="EG33" s="646"/>
      <c r="EH33" s="589" t="str">
        <f t="shared" si="17"/>
        <v>0</v>
      </c>
      <c r="EI33" s="245"/>
      <c r="EJ33" s="128"/>
      <c r="EK33" s="245"/>
      <c r="EL33" s="589" t="str">
        <f t="shared" si="18"/>
        <v>0</v>
      </c>
      <c r="EM33" s="128"/>
      <c r="EN33" s="245"/>
      <c r="EO33" s="589" t="str">
        <f t="shared" si="19"/>
        <v>0</v>
      </c>
      <c r="EP33" s="128"/>
      <c r="EQ33" s="245"/>
      <c r="ER33" s="589" t="str">
        <f t="shared" si="20"/>
        <v>0</v>
      </c>
      <c r="ES33" s="648"/>
      <c r="ET33" s="128"/>
      <c r="EU33" s="593" t="str">
        <f t="shared" si="21"/>
        <v>0</v>
      </c>
      <c r="EV33" s="135"/>
      <c r="EW33" s="649"/>
      <c r="EX33" s="589" t="str">
        <f t="shared" si="22"/>
        <v>0</v>
      </c>
      <c r="EY33" s="245"/>
      <c r="EZ33" s="128"/>
      <c r="FA33" s="589" t="str">
        <f t="shared" si="23"/>
        <v>0</v>
      </c>
      <c r="FB33" s="120"/>
      <c r="FC33" s="120"/>
      <c r="FD33" s="589" t="str">
        <f t="shared" si="24"/>
        <v>0</v>
      </c>
      <c r="FE33" s="120"/>
      <c r="FF33" s="120"/>
      <c r="FG33" s="589" t="str">
        <f t="shared" si="25"/>
        <v>0</v>
      </c>
      <c r="FH33" s="120"/>
      <c r="FI33" s="120"/>
      <c r="FJ33" s="589" t="str">
        <f t="shared" si="26"/>
        <v>0</v>
      </c>
      <c r="FK33" s="120"/>
      <c r="FL33" s="120"/>
      <c r="FM33" s="120"/>
      <c r="FN33" s="602"/>
      <c r="FO33" s="600"/>
      <c r="FP33" s="598">
        <f t="shared" si="27"/>
        <v>0</v>
      </c>
      <c r="FQ33" s="602"/>
      <c r="FR33" s="602"/>
      <c r="FS33" s="623"/>
      <c r="FT33" s="623"/>
      <c r="FU33" s="627"/>
      <c r="FV33" s="627"/>
      <c r="FW33" s="628">
        <f t="shared" si="28"/>
        <v>0</v>
      </c>
      <c r="FX33" s="628">
        <f t="shared" si="29"/>
        <v>0</v>
      </c>
      <c r="FY33" s="624"/>
      <c r="FZ33" s="641" t="s">
        <v>847</v>
      </c>
      <c r="GA33" s="624"/>
      <c r="GB33" s="624"/>
      <c r="GC33" s="114" t="s">
        <v>125</v>
      </c>
      <c r="GD33" s="723">
        <v>3574384</v>
      </c>
      <c r="GE33" s="10">
        <f t="shared" ref="GE33:GE39" si="74">+GO33+GS33+GZ33+HT33</f>
        <v>3902190</v>
      </c>
      <c r="GF33" s="11">
        <f>GP33+GT33+HA33+HT33+HB33+HE33</f>
        <v>3927084</v>
      </c>
      <c r="GG33" s="12">
        <f t="shared" si="30"/>
        <v>24894</v>
      </c>
      <c r="GH33" s="12">
        <f t="shared" si="31"/>
        <v>2142.365225360872</v>
      </c>
      <c r="GI33" s="12">
        <f t="shared" si="32"/>
        <v>163628.5</v>
      </c>
      <c r="GJ33" s="10">
        <v>3273574</v>
      </c>
      <c r="GK33" s="11">
        <v>3268014</v>
      </c>
      <c r="GL33" s="12">
        <f t="shared" si="33"/>
        <v>-5560</v>
      </c>
      <c r="GM33" s="137">
        <f t="shared" si="34"/>
        <v>0.85652391451979515</v>
      </c>
      <c r="GN33" s="138"/>
      <c r="GO33" s="10">
        <v>1046714</v>
      </c>
      <c r="GP33" s="11">
        <v>1042673</v>
      </c>
      <c r="GQ33" s="23">
        <f t="shared" si="35"/>
        <v>43444.708333333336</v>
      </c>
      <c r="GR33" s="38">
        <f t="shared" si="36"/>
        <v>-4041</v>
      </c>
      <c r="GS33" s="10">
        <v>2047671</v>
      </c>
      <c r="GT33" s="11">
        <f t="shared" si="37"/>
        <v>2051712</v>
      </c>
      <c r="GU33" s="13">
        <v>255345</v>
      </c>
      <c r="GV33" s="13">
        <v>1796367</v>
      </c>
      <c r="GW33" s="38">
        <f t="shared" si="38"/>
        <v>4041</v>
      </c>
      <c r="GX33" s="23">
        <f t="shared" si="39"/>
        <v>85488</v>
      </c>
      <c r="GY33" s="11"/>
      <c r="GZ33" s="10">
        <v>480000</v>
      </c>
      <c r="HA33" s="11">
        <v>360000</v>
      </c>
      <c r="HB33" s="70">
        <v>144894</v>
      </c>
      <c r="HC33" s="41">
        <f t="shared" si="40"/>
        <v>9.1671071970958598E-2</v>
      </c>
      <c r="HD33" s="329"/>
      <c r="HE33" s="11">
        <v>0</v>
      </c>
      <c r="HF33" s="24">
        <f t="shared" si="62"/>
        <v>-120000</v>
      </c>
      <c r="HG33" s="23">
        <f t="shared" si="41"/>
        <v>15000</v>
      </c>
      <c r="HH33" s="52"/>
      <c r="HI33" s="24">
        <f t="shared" si="42"/>
        <v>-5000</v>
      </c>
      <c r="HJ33" s="51"/>
      <c r="HK33" s="51"/>
      <c r="HL33" s="40">
        <v>1244630.4489499999</v>
      </c>
      <c r="HM33" s="40">
        <v>480000</v>
      </c>
      <c r="HN33" s="23">
        <f t="shared" si="43"/>
        <v>78444.708333333328</v>
      </c>
      <c r="HO33" s="40">
        <v>0</v>
      </c>
      <c r="HP33" s="23">
        <f t="shared" si="44"/>
        <v>78444.708333333328</v>
      </c>
      <c r="HQ33" s="53">
        <f t="shared" si="45"/>
        <v>0.37779921684285633</v>
      </c>
      <c r="HR33" s="40">
        <v>188451.07500000001</v>
      </c>
      <c r="HS33" s="40"/>
      <c r="HT33" s="484">
        <v>327805</v>
      </c>
      <c r="HU33" s="42">
        <f t="shared" si="46"/>
        <v>5171714.4489500001</v>
      </c>
      <c r="HV33" s="245">
        <v>172483</v>
      </c>
      <c r="HW33" s="245">
        <f t="shared" si="47"/>
        <v>86240</v>
      </c>
      <c r="HX33" s="119">
        <v>41246</v>
      </c>
      <c r="HY33" s="245">
        <v>16144</v>
      </c>
      <c r="HZ33" s="245"/>
      <c r="IA33" s="119"/>
      <c r="IB33" s="119">
        <v>41291</v>
      </c>
      <c r="IC33" s="245"/>
      <c r="ID33" s="119">
        <v>41275</v>
      </c>
      <c r="IE33" s="245">
        <v>24216</v>
      </c>
      <c r="IF33" s="119">
        <v>41484</v>
      </c>
      <c r="IG33" s="245">
        <v>20008</v>
      </c>
      <c r="IH33" s="120">
        <v>41583</v>
      </c>
      <c r="II33" s="350">
        <v>25872</v>
      </c>
      <c r="IJ33" s="341"/>
      <c r="IK33" s="341"/>
      <c r="IL33" s="128"/>
      <c r="IM33" s="245"/>
      <c r="IN33" s="128"/>
      <c r="IO33" s="245"/>
      <c r="IP33" s="120"/>
      <c r="IQ33" s="120"/>
      <c r="IR33" s="120"/>
      <c r="IS33" s="120"/>
      <c r="IT33" s="289"/>
      <c r="IU33" s="289"/>
      <c r="IV33" s="289"/>
      <c r="IW33" s="289"/>
      <c r="IX33" s="289"/>
      <c r="IY33" s="289"/>
      <c r="IZ33" s="245">
        <v>24216</v>
      </c>
      <c r="JA33" s="128"/>
      <c r="JB33" s="120"/>
      <c r="JC33" s="128"/>
      <c r="JD33" s="128"/>
      <c r="JE33" s="120"/>
    </row>
    <row r="34" spans="1:265" ht="34.5" customHeight="1">
      <c r="A34" s="25" t="s">
        <v>54</v>
      </c>
      <c r="B34" s="7" t="s">
        <v>28</v>
      </c>
      <c r="C34" s="7" t="s">
        <v>117</v>
      </c>
      <c r="D34" s="7">
        <v>2013</v>
      </c>
      <c r="E34" s="7" t="s">
        <v>55</v>
      </c>
      <c r="F34" s="7" t="s">
        <v>30</v>
      </c>
      <c r="G34" s="7" t="s">
        <v>697</v>
      </c>
      <c r="H34" s="7" t="s">
        <v>265</v>
      </c>
      <c r="I34" s="56"/>
      <c r="J34" s="56"/>
      <c r="K34" s="275"/>
      <c r="L34" s="173" t="s">
        <v>69</v>
      </c>
      <c r="M34" s="109" t="s">
        <v>70</v>
      </c>
      <c r="N34" s="110"/>
      <c r="O34" s="219">
        <f>4015+535</f>
        <v>4550</v>
      </c>
      <c r="P34" s="219">
        <v>298500</v>
      </c>
      <c r="Q34" s="219">
        <v>122015</v>
      </c>
      <c r="R34" s="219">
        <f>P34/15</f>
        <v>19900</v>
      </c>
      <c r="S34" s="219">
        <f t="shared" si="66"/>
        <v>65.604395604395606</v>
      </c>
      <c r="T34" s="225">
        <f t="shared" si="67"/>
        <v>26.816483516483515</v>
      </c>
      <c r="U34" s="225">
        <f t="shared" si="69"/>
        <v>103.92126802429075</v>
      </c>
      <c r="V34" s="225">
        <f t="shared" si="70"/>
        <v>8134.333333333333</v>
      </c>
      <c r="W34" s="219">
        <f t="shared" si="71"/>
        <v>303.33333333333331</v>
      </c>
      <c r="X34" s="220"/>
      <c r="Y34" s="221">
        <f t="shared" si="72"/>
        <v>0.25804615384615381</v>
      </c>
      <c r="Z34" s="220" t="s">
        <v>202</v>
      </c>
      <c r="AA34" s="222">
        <v>600</v>
      </c>
      <c r="AB34" s="223"/>
      <c r="AC34" s="7" t="s">
        <v>16</v>
      </c>
      <c r="AD34" s="345">
        <f t="shared" ref="AD34:AD65" si="75">SUM(AE34:AH34)</f>
        <v>15</v>
      </c>
      <c r="AE34" s="8"/>
      <c r="AF34" s="7">
        <v>15</v>
      </c>
      <c r="AG34" s="56"/>
      <c r="AH34" s="56"/>
      <c r="AI34" s="9">
        <v>1160.5899999999999</v>
      </c>
      <c r="AJ34" s="85">
        <v>1174.1099999999999</v>
      </c>
      <c r="AK34" s="9">
        <f t="shared" si="1"/>
        <v>78.273999999999987</v>
      </c>
      <c r="AL34" s="62"/>
      <c r="AM34" s="62"/>
      <c r="AN34" s="62"/>
      <c r="AO34" s="62"/>
      <c r="AP34" s="62"/>
      <c r="AQ34" s="9"/>
      <c r="AR34" s="79"/>
      <c r="AS34" s="81">
        <f t="shared" si="58"/>
        <v>0</v>
      </c>
      <c r="AT34" s="60">
        <v>1.5</v>
      </c>
      <c r="AU34" s="56" t="s">
        <v>620</v>
      </c>
      <c r="AV34" s="7"/>
      <c r="AW34" s="56"/>
      <c r="AX34" s="196">
        <v>40963</v>
      </c>
      <c r="AY34" s="113" t="s">
        <v>11</v>
      </c>
      <c r="AZ34" s="113" t="s">
        <v>150</v>
      </c>
      <c r="BA34" s="469"/>
      <c r="BB34" s="216">
        <v>41596</v>
      </c>
      <c r="BC34" s="204"/>
      <c r="BD34" s="204" t="s">
        <v>338</v>
      </c>
      <c r="BE34" s="217" t="s">
        <v>342</v>
      </c>
      <c r="BF34" s="204">
        <v>42291</v>
      </c>
      <c r="BG34" s="171">
        <v>41550</v>
      </c>
      <c r="BH34" s="214" t="s">
        <v>133</v>
      </c>
      <c r="BI34" s="172">
        <f>DATE(YEAR(BG34),MONTH(BG34)+3,DAY(BG34))</f>
        <v>41642</v>
      </c>
      <c r="BJ34" s="172" t="s">
        <v>133</v>
      </c>
      <c r="BK34" s="323">
        <v>41818</v>
      </c>
      <c r="BL34" s="322">
        <f t="shared" si="2"/>
        <v>42549</v>
      </c>
      <c r="BM34" s="322">
        <f t="shared" si="3"/>
        <v>42914</v>
      </c>
      <c r="BN34" s="322" t="str">
        <f t="shared" si="61"/>
        <v>oui</v>
      </c>
      <c r="BO34" s="172"/>
      <c r="BP34" s="471" t="s">
        <v>336</v>
      </c>
      <c r="BQ34" s="107"/>
      <c r="BR34" s="107"/>
      <c r="BS34" s="107"/>
      <c r="BT34" s="107"/>
      <c r="BU34" s="167" t="s">
        <v>72</v>
      </c>
      <c r="BV34" s="333">
        <v>42340</v>
      </c>
      <c r="BW34" s="268"/>
      <c r="BX34" s="168">
        <v>2671324.61</v>
      </c>
      <c r="BY34" s="174">
        <f t="shared" si="50"/>
        <v>42888</v>
      </c>
      <c r="BZ34" s="174"/>
      <c r="CA34" s="373">
        <v>42535</v>
      </c>
      <c r="CB34" s="268">
        <v>43071</v>
      </c>
      <c r="CC34" s="681">
        <f t="shared" si="68"/>
        <v>-8.5666666666666664</v>
      </c>
      <c r="CD34" s="511"/>
      <c r="CE34" s="380">
        <v>42341</v>
      </c>
      <c r="CF34" s="375">
        <v>2015</v>
      </c>
      <c r="CG34" s="497">
        <f t="shared" ref="CG34:CG65" si="76">(DATEDIF(BB34,CE34,"d"))/30</f>
        <v>24.833333333333332</v>
      </c>
      <c r="CH34" s="260">
        <v>13</v>
      </c>
      <c r="CI34" s="260">
        <f>CH34</f>
        <v>13</v>
      </c>
      <c r="CJ34" s="256">
        <f t="shared" ref="CJ34:CJ65" si="77">DATEDIF(CE34,CR34,"M")</f>
        <v>15</v>
      </c>
      <c r="CK34" s="256">
        <f t="shared" ref="CK34:CK65" si="78">DATEDIF(CE34,CW34,"M")</f>
        <v>15</v>
      </c>
      <c r="CL34" s="256">
        <f t="shared" ref="CL34:CL65" si="79">DATEDIF(CQ34,CR34,"M")</f>
        <v>2</v>
      </c>
      <c r="CM34" s="256">
        <f t="shared" ref="CM34:CM65" si="80">CK34-CI34</f>
        <v>2</v>
      </c>
      <c r="CN34" s="259">
        <f>56856.5334543356/12</f>
        <v>4738.044454527967</v>
      </c>
      <c r="CO34" s="259">
        <f t="shared" si="64"/>
        <v>9476.088909055934</v>
      </c>
      <c r="CP34" s="315" t="s">
        <v>476</v>
      </c>
      <c r="CQ34" s="697">
        <f t="shared" ref="CQ34:CQ65" si="81">DATE(YEAR(CE34),MONTH(CE34)+CH34,DAY(CE34))</f>
        <v>42738</v>
      </c>
      <c r="CR34" s="672">
        <v>42814</v>
      </c>
      <c r="CS34" s="721">
        <f t="shared" si="73"/>
        <v>43265</v>
      </c>
      <c r="CT34" s="672">
        <v>42865</v>
      </c>
      <c r="CU34" s="315">
        <v>42865</v>
      </c>
      <c r="CV34" s="716">
        <v>42804</v>
      </c>
      <c r="CW34" s="672">
        <v>42814</v>
      </c>
      <c r="CX34" s="515">
        <v>2017</v>
      </c>
      <c r="CY34" s="315" t="s">
        <v>133</v>
      </c>
      <c r="CZ34" s="206" t="s">
        <v>133</v>
      </c>
      <c r="DA34" s="251" t="s">
        <v>133</v>
      </c>
      <c r="DB34" s="127"/>
      <c r="DC34" s="127"/>
      <c r="DD34" s="127"/>
      <c r="DE34" s="56"/>
      <c r="DF34" s="56"/>
      <c r="DG34" s="344">
        <v>42977</v>
      </c>
      <c r="DH34" s="120"/>
      <c r="DI34" s="120"/>
      <c r="DJ34" s="344">
        <v>43125</v>
      </c>
      <c r="DK34" s="56"/>
      <c r="DL34" s="196">
        <v>42998</v>
      </c>
      <c r="DM34" s="56"/>
      <c r="DN34" s="56" t="s">
        <v>470</v>
      </c>
      <c r="DO34" s="452" t="s">
        <v>133</v>
      </c>
      <c r="DP34" s="58"/>
      <c r="DQ34" s="56"/>
      <c r="DR34" s="56"/>
      <c r="DS34" s="128"/>
      <c r="DT34" s="128"/>
      <c r="DU34" s="128"/>
      <c r="DV34" s="589" t="str">
        <f t="shared" ref="DV34:DV65" si="82">IF(AND(DT34&gt;0,DU34&gt;0),DU34-DT34,"0")</f>
        <v>0</v>
      </c>
      <c r="DW34" s="128"/>
      <c r="DX34" s="128"/>
      <c r="DY34" s="589" t="str">
        <f t="shared" ref="DY34:DY65" si="83">IF(AND(DW34&gt;0,DX34&gt;0),DX34-DW34,"0")</f>
        <v>0</v>
      </c>
      <c r="DZ34" s="128"/>
      <c r="EA34" s="128"/>
      <c r="EB34" s="589" t="str">
        <f t="shared" ref="EB34:EB65" si="84">IF(AND(DZ34&gt;0,EA34&gt;0),EA34-DZ34,"0")</f>
        <v>0</v>
      </c>
      <c r="EC34" s="128"/>
      <c r="ED34" s="128"/>
      <c r="EE34" s="589" t="str">
        <f t="shared" ref="EE34:EE65" si="85">IF(AND(EC34&gt;0,ED34&gt;0),ED34-EC34,"0")</f>
        <v>0</v>
      </c>
      <c r="EF34" s="135"/>
      <c r="EG34" s="646"/>
      <c r="EH34" s="589" t="str">
        <f t="shared" ref="EH34:EH65" si="86">IF(AND(EF34&gt;0,EG34&gt;0),EG34-EF34,"0")</f>
        <v>0</v>
      </c>
      <c r="EI34" s="245"/>
      <c r="EJ34" s="128"/>
      <c r="EK34" s="245"/>
      <c r="EL34" s="589" t="str">
        <f t="shared" ref="EL34:EL65" si="87">IF(AND(EJ34&gt;0,EK34&gt;0),EK34-EJ34,"0")</f>
        <v>0</v>
      </c>
      <c r="EM34" s="128"/>
      <c r="EN34" s="245"/>
      <c r="EO34" s="589" t="str">
        <f t="shared" ref="EO34:EO65" si="88">IF(AND(EM34&gt;0,EN34&gt;0),EN34-EM34,"0")</f>
        <v>0</v>
      </c>
      <c r="EP34" s="128"/>
      <c r="EQ34" s="245"/>
      <c r="ER34" s="589" t="str">
        <f t="shared" ref="ER34:ER65" si="89">IF(AND(EP34&gt;0,EQ34&gt;0),EQ34-EP34,"0")</f>
        <v>0</v>
      </c>
      <c r="ES34" s="648"/>
      <c r="ET34" s="644"/>
      <c r="EU34" s="593" t="str">
        <f t="shared" ref="EU34:EU65" si="90">IF(AND(ES34&gt;0,ET34&gt;0),ET34-ES34,"0")</f>
        <v>0</v>
      </c>
      <c r="EV34" s="135"/>
      <c r="EW34" s="649"/>
      <c r="EX34" s="589" t="str">
        <f t="shared" ref="EX34:EX65" si="91">IF(AND(EV34&gt;0,EW34&gt;0),EW34-EV34,"0")</f>
        <v>0</v>
      </c>
      <c r="EY34" s="245"/>
      <c r="EZ34" s="128"/>
      <c r="FA34" s="589" t="str">
        <f t="shared" ref="FA34:FA65" si="92">IF(AND(EY34&gt;0,EZ34&gt;0),EZ34-EY34,"0")</f>
        <v>0</v>
      </c>
      <c r="FB34" s="120"/>
      <c r="FC34" s="120"/>
      <c r="FD34" s="589" t="str">
        <f t="shared" ref="FD34:FD65" si="93">IF(AND(FB34&gt;0,FC34&gt;0),FC34-FB34,"0")</f>
        <v>0</v>
      </c>
      <c r="FE34" s="120"/>
      <c r="FF34" s="120"/>
      <c r="FG34" s="589" t="str">
        <f t="shared" ref="FG34:FG65" si="94">IF(AND(FE34&gt;0,FF34&gt;0),FF34-FE34,"0")</f>
        <v>0</v>
      </c>
      <c r="FH34" s="128"/>
      <c r="FI34" s="128"/>
      <c r="FJ34" s="589" t="str">
        <f t="shared" ref="FJ34:FJ65" si="95">IF(AND(FH34&gt;0,FI34&gt;0),FI34-FH34,"0")</f>
        <v>0</v>
      </c>
      <c r="FK34" s="120"/>
      <c r="FL34" s="120"/>
      <c r="FM34" s="120"/>
      <c r="FN34" s="602"/>
      <c r="FO34" s="600"/>
      <c r="FP34" s="598">
        <f t="shared" si="27"/>
        <v>0</v>
      </c>
      <c r="FQ34" s="602"/>
      <c r="FR34" s="602"/>
      <c r="FS34" s="623"/>
      <c r="FT34" s="623"/>
      <c r="FU34" s="627"/>
      <c r="FV34" s="627"/>
      <c r="FW34" s="628">
        <f t="shared" ref="FW34:FW65" si="96">(DV34+DY34+EB34+EE34+EH34+EL34+EO34)/30</f>
        <v>0</v>
      </c>
      <c r="FX34" s="628">
        <f t="shared" si="29"/>
        <v>0</v>
      </c>
      <c r="FY34" s="624"/>
      <c r="FZ34" s="641" t="s">
        <v>850</v>
      </c>
      <c r="GA34" s="624"/>
      <c r="GB34" s="624"/>
      <c r="GC34" s="114"/>
      <c r="GD34" s="723">
        <v>2369120</v>
      </c>
      <c r="GE34" s="10">
        <f t="shared" si="74"/>
        <v>2776975.73</v>
      </c>
      <c r="GF34" s="11">
        <f>GP34+GT34+HA34+HT34+HB34+HE34</f>
        <v>2951881.73</v>
      </c>
      <c r="GG34" s="12">
        <f t="shared" si="30"/>
        <v>174906</v>
      </c>
      <c r="GH34" s="12">
        <f t="shared" si="31"/>
        <v>2543.4319871789348</v>
      </c>
      <c r="GI34" s="12">
        <f t="shared" si="32"/>
        <v>196792.11533333332</v>
      </c>
      <c r="GJ34" s="10">
        <v>2132208</v>
      </c>
      <c r="GK34" s="11">
        <v>2403709.4727445007</v>
      </c>
      <c r="GL34" s="12">
        <f t="shared" ref="GL34:GL62" si="97">GK34-GJ34</f>
        <v>271501.47274450073</v>
      </c>
      <c r="GM34" s="137">
        <f t="shared" si="34"/>
        <v>0.7839407253299977</v>
      </c>
      <c r="GN34" s="138"/>
      <c r="GO34" s="10">
        <v>646677</v>
      </c>
      <c r="GP34" s="11">
        <v>835967</v>
      </c>
      <c r="GQ34" s="23">
        <f t="shared" si="35"/>
        <v>55731.133333333331</v>
      </c>
      <c r="GR34" s="38">
        <f t="shared" si="36"/>
        <v>189290</v>
      </c>
      <c r="GS34" s="10">
        <v>1328613</v>
      </c>
      <c r="GT34" s="11">
        <f t="shared" si="37"/>
        <v>1314229</v>
      </c>
      <c r="GU34" s="13">
        <v>212380</v>
      </c>
      <c r="GV34" s="13">
        <v>1101849</v>
      </c>
      <c r="GW34" s="38">
        <f t="shared" si="38"/>
        <v>-14384</v>
      </c>
      <c r="GX34" s="23">
        <f t="shared" si="39"/>
        <v>87615.266666666663</v>
      </c>
      <c r="GY34" s="11"/>
      <c r="GZ34" s="10">
        <v>393831</v>
      </c>
      <c r="HA34" s="11">
        <v>393831</v>
      </c>
      <c r="HB34" s="70"/>
      <c r="HC34" s="41">
        <f t="shared" si="40"/>
        <v>0.13341693063021193</v>
      </c>
      <c r="HD34" s="329"/>
      <c r="HE34" s="11">
        <v>0</v>
      </c>
      <c r="HF34" s="24">
        <f t="shared" si="62"/>
        <v>0</v>
      </c>
      <c r="HG34" s="23">
        <f t="shared" si="41"/>
        <v>26255.4</v>
      </c>
      <c r="HH34" s="52"/>
      <c r="HI34" s="24">
        <f t="shared" si="42"/>
        <v>0</v>
      </c>
      <c r="HJ34" s="51"/>
      <c r="HK34" s="51"/>
      <c r="HL34" s="40">
        <v>753806.75427749997</v>
      </c>
      <c r="HM34" s="40">
        <v>300000</v>
      </c>
      <c r="HN34" s="23">
        <f t="shared" si="43"/>
        <v>101986.53333333334</v>
      </c>
      <c r="HO34" s="40">
        <v>162750</v>
      </c>
      <c r="HP34" s="23">
        <f t="shared" si="44"/>
        <v>112836.53333333334</v>
      </c>
      <c r="HQ34" s="53">
        <f t="shared" si="45"/>
        <v>0.47263203266107667</v>
      </c>
      <c r="HR34" s="40">
        <v>124577</v>
      </c>
      <c r="HS34" s="482"/>
      <c r="HT34" s="483">
        <v>407854.73</v>
      </c>
      <c r="HU34" s="42">
        <f t="shared" ref="HU34:HU51" si="98">GF34+HL34</f>
        <v>3705688.4842774998</v>
      </c>
      <c r="HV34" s="296">
        <v>142778</v>
      </c>
      <c r="HW34" s="296">
        <f t="shared" ref="HW34:HW65" si="99">HY34+IA34+IC34+IE34+IG34+II34+IK34+IM34+IO34+IQ34+IS34+IU34+IW34+IY34+JA34+JC34+JE34</f>
        <v>57156</v>
      </c>
      <c r="HX34" s="119">
        <v>40814</v>
      </c>
      <c r="HY34" s="245">
        <v>10799</v>
      </c>
      <c r="HZ34" s="245"/>
      <c r="IA34" s="119"/>
      <c r="IB34" s="119"/>
      <c r="IC34" s="245"/>
      <c r="ID34" s="119"/>
      <c r="IE34" s="245"/>
      <c r="IF34" s="119">
        <v>41050</v>
      </c>
      <c r="IG34" s="245">
        <v>29206</v>
      </c>
      <c r="IH34" s="120">
        <v>41627</v>
      </c>
      <c r="II34" s="350">
        <v>17151</v>
      </c>
      <c r="IJ34" s="341"/>
      <c r="IK34" s="341"/>
      <c r="IL34" s="128"/>
      <c r="IM34" s="245"/>
      <c r="IN34" s="128"/>
      <c r="IO34" s="245"/>
      <c r="IP34" s="120"/>
      <c r="IQ34" s="120"/>
      <c r="IR34" s="120"/>
      <c r="IS34" s="120"/>
      <c r="IT34" s="289"/>
      <c r="IU34" s="289"/>
      <c r="IV34" s="289"/>
      <c r="IW34" s="289"/>
      <c r="IX34" s="289"/>
      <c r="IY34" s="289"/>
      <c r="IZ34" s="245"/>
      <c r="JA34" s="128"/>
      <c r="JB34" s="120"/>
      <c r="JC34" s="128"/>
      <c r="JD34" s="128"/>
      <c r="JE34" s="120"/>
    </row>
    <row r="35" spans="1:265" ht="24.95" customHeight="1">
      <c r="A35" s="86" t="s">
        <v>295</v>
      </c>
      <c r="B35" s="20" t="s">
        <v>40</v>
      </c>
      <c r="C35" s="20" t="s">
        <v>119</v>
      </c>
      <c r="D35" s="20">
        <v>2014</v>
      </c>
      <c r="E35" s="20" t="s">
        <v>170</v>
      </c>
      <c r="F35" s="20" t="s">
        <v>423</v>
      </c>
      <c r="G35" s="20" t="s">
        <v>190</v>
      </c>
      <c r="H35" s="7" t="s">
        <v>182</v>
      </c>
      <c r="I35" s="57" t="s">
        <v>125</v>
      </c>
      <c r="J35" s="57"/>
      <c r="K35" s="218"/>
      <c r="L35" s="173" t="s">
        <v>64</v>
      </c>
      <c r="M35" s="109" t="s">
        <v>143</v>
      </c>
      <c r="N35" s="110">
        <v>41407</v>
      </c>
      <c r="O35" s="224">
        <v>1492</v>
      </c>
      <c r="P35" s="224">
        <v>325000</v>
      </c>
      <c r="Q35" s="224">
        <v>85500</v>
      </c>
      <c r="R35" s="219">
        <f>P35/AD35</f>
        <v>36111.111111111109</v>
      </c>
      <c r="S35" s="224">
        <f t="shared" si="66"/>
        <v>217.82841823056302</v>
      </c>
      <c r="T35" s="225">
        <f t="shared" si="67"/>
        <v>57.305630026809652</v>
      </c>
      <c r="U35" s="225">
        <f t="shared" si="69"/>
        <v>103.33949744370717</v>
      </c>
      <c r="V35" s="225">
        <f t="shared" si="70"/>
        <v>9500</v>
      </c>
      <c r="W35" s="219">
        <f t="shared" si="71"/>
        <v>165.77777777777777</v>
      </c>
      <c r="X35" s="226"/>
      <c r="Y35" s="227">
        <f t="shared" si="72"/>
        <v>0.55453753351206436</v>
      </c>
      <c r="Z35" s="226" t="s">
        <v>203</v>
      </c>
      <c r="AA35" s="461">
        <v>30</v>
      </c>
      <c r="AB35" s="462"/>
      <c r="AC35" s="20" t="s">
        <v>15</v>
      </c>
      <c r="AD35" s="345">
        <f t="shared" si="75"/>
        <v>9</v>
      </c>
      <c r="AE35" s="20">
        <v>9</v>
      </c>
      <c r="AF35" s="55"/>
      <c r="AG35" s="277"/>
      <c r="AH35" s="277"/>
      <c r="AI35" s="465">
        <v>858.51</v>
      </c>
      <c r="AJ35" s="466">
        <v>827.37</v>
      </c>
      <c r="AK35" s="9">
        <f t="shared" si="1"/>
        <v>91.93</v>
      </c>
      <c r="AL35" s="63">
        <v>0</v>
      </c>
      <c r="AM35" s="63">
        <v>0</v>
      </c>
      <c r="AN35" s="63">
        <v>0</v>
      </c>
      <c r="AO35" s="82">
        <f>8/AD35</f>
        <v>0.88888888888888884</v>
      </c>
      <c r="AP35" s="82">
        <f>1/AD35</f>
        <v>0.1111111111111111</v>
      </c>
      <c r="AQ35" s="465"/>
      <c r="AR35" s="80">
        <v>0</v>
      </c>
      <c r="AS35" s="82">
        <f t="shared" si="58"/>
        <v>0</v>
      </c>
      <c r="AT35" s="61">
        <v>2</v>
      </c>
      <c r="AU35" s="57" t="s">
        <v>620</v>
      </c>
      <c r="AV35" s="20" t="s">
        <v>126</v>
      </c>
      <c r="AW35" s="202">
        <v>41591</v>
      </c>
      <c r="AX35" s="202">
        <v>41773</v>
      </c>
      <c r="AY35" s="113" t="s">
        <v>261</v>
      </c>
      <c r="AZ35" s="113" t="s">
        <v>412</v>
      </c>
      <c r="BA35" s="469"/>
      <c r="BB35" s="216">
        <v>41800</v>
      </c>
      <c r="BC35" s="102"/>
      <c r="BD35" s="102">
        <v>41820</v>
      </c>
      <c r="BE35" s="216">
        <v>41963</v>
      </c>
      <c r="BF35" s="102"/>
      <c r="BG35" s="171">
        <v>42054</v>
      </c>
      <c r="BH35" s="214">
        <v>42059</v>
      </c>
      <c r="BI35" s="172">
        <v>42147</v>
      </c>
      <c r="BJ35" s="172">
        <v>42074</v>
      </c>
      <c r="BK35" s="323">
        <v>42146</v>
      </c>
      <c r="BL35" s="322">
        <f t="shared" si="2"/>
        <v>42877</v>
      </c>
      <c r="BM35" s="322">
        <f t="shared" si="3"/>
        <v>43242</v>
      </c>
      <c r="BN35" s="322" t="str">
        <f t="shared" si="61"/>
        <v>oui</v>
      </c>
      <c r="BO35" s="176" t="s">
        <v>133</v>
      </c>
      <c r="BP35" s="37" t="s">
        <v>296</v>
      </c>
      <c r="BQ35" s="200" t="s">
        <v>350</v>
      </c>
      <c r="BR35" s="104"/>
      <c r="BS35" s="104"/>
      <c r="BT35" s="104"/>
      <c r="BU35" s="167" t="s">
        <v>154</v>
      </c>
      <c r="BV35" s="333">
        <v>42478</v>
      </c>
      <c r="BW35" s="268">
        <v>42548</v>
      </c>
      <c r="BX35" s="168">
        <v>1734390.06</v>
      </c>
      <c r="BY35" s="333">
        <v>42522</v>
      </c>
      <c r="BZ35" s="373">
        <f>DATE(YEAR(BV35),MONTH(BV35)+24,DAY(BV35))</f>
        <v>43208</v>
      </c>
      <c r="CA35" s="373">
        <v>42614</v>
      </c>
      <c r="CB35" s="276">
        <v>43131</v>
      </c>
      <c r="CC35" s="681">
        <f t="shared" si="68"/>
        <v>2.9666666666666668</v>
      </c>
      <c r="CD35" s="510"/>
      <c r="CE35" s="380">
        <v>42500</v>
      </c>
      <c r="CF35" s="376">
        <v>2016</v>
      </c>
      <c r="CG35" s="496">
        <f t="shared" si="76"/>
        <v>23.333333333333332</v>
      </c>
      <c r="CH35" s="122">
        <v>13</v>
      </c>
      <c r="CI35" s="132">
        <f t="shared" ref="CI35:CI66" si="100">CH35+1</f>
        <v>14</v>
      </c>
      <c r="CJ35" s="257">
        <f t="shared" si="77"/>
        <v>22</v>
      </c>
      <c r="CK35" s="257">
        <f t="shared" si="78"/>
        <v>23</v>
      </c>
      <c r="CL35" s="257">
        <f t="shared" si="79"/>
        <v>9</v>
      </c>
      <c r="CM35" s="257">
        <f t="shared" si="80"/>
        <v>9</v>
      </c>
      <c r="CN35" s="248">
        <f>64366.3774204337/12</f>
        <v>5363.8647850361422</v>
      </c>
      <c r="CO35" s="247">
        <f t="shared" si="64"/>
        <v>48274.783065325282</v>
      </c>
      <c r="CP35" s="250" t="s">
        <v>133</v>
      </c>
      <c r="CQ35" s="652">
        <f t="shared" si="81"/>
        <v>42896</v>
      </c>
      <c r="CR35" s="446">
        <v>43171</v>
      </c>
      <c r="CS35" s="709">
        <f t="shared" si="73"/>
        <v>43344</v>
      </c>
      <c r="CT35" s="714"/>
      <c r="CU35" s="131"/>
      <c r="CV35" s="686">
        <v>43205</v>
      </c>
      <c r="CW35" s="688">
        <v>43220</v>
      </c>
      <c r="CX35" s="689"/>
      <c r="CY35" s="126"/>
      <c r="CZ35" s="129"/>
      <c r="DA35" s="129"/>
      <c r="DB35" s="129"/>
      <c r="DC35" s="129"/>
      <c r="DD35" s="129"/>
      <c r="DE35" s="57"/>
      <c r="DF35" s="57"/>
      <c r="DG35" s="57"/>
      <c r="DH35" s="57"/>
      <c r="DI35" s="57"/>
      <c r="DJ35" s="57"/>
      <c r="DK35" s="57"/>
      <c r="DL35" s="57"/>
      <c r="DM35" s="57"/>
      <c r="DN35" s="196"/>
      <c r="DO35" s="57"/>
      <c r="DP35" s="57"/>
      <c r="DQ35" s="57"/>
      <c r="DR35" s="57"/>
      <c r="DS35" s="128">
        <v>41548</v>
      </c>
      <c r="DT35" s="128">
        <v>41549</v>
      </c>
      <c r="DU35" s="128">
        <v>41555</v>
      </c>
      <c r="DV35" s="621">
        <f t="shared" si="82"/>
        <v>6</v>
      </c>
      <c r="DW35" s="128">
        <v>41676</v>
      </c>
      <c r="DX35" s="128">
        <v>41676</v>
      </c>
      <c r="DY35" s="621">
        <f t="shared" si="83"/>
        <v>0</v>
      </c>
      <c r="DZ35" s="128">
        <v>41684</v>
      </c>
      <c r="EA35" s="128">
        <v>41688</v>
      </c>
      <c r="EB35" s="621">
        <f t="shared" si="84"/>
        <v>4</v>
      </c>
      <c r="EC35" s="128">
        <v>41773</v>
      </c>
      <c r="ED35" s="128">
        <v>41801</v>
      </c>
      <c r="EE35" s="621">
        <f t="shared" si="85"/>
        <v>28</v>
      </c>
      <c r="EF35" s="128">
        <v>41946</v>
      </c>
      <c r="EG35" s="128">
        <v>41946</v>
      </c>
      <c r="EH35" s="621">
        <f t="shared" si="86"/>
        <v>0</v>
      </c>
      <c r="EI35" s="128">
        <v>42146</v>
      </c>
      <c r="EJ35" s="128">
        <v>42158</v>
      </c>
      <c r="EK35" s="128">
        <v>42500</v>
      </c>
      <c r="EL35" s="621">
        <f t="shared" si="87"/>
        <v>342</v>
      </c>
      <c r="EM35" s="128">
        <v>42083</v>
      </c>
      <c r="EN35" s="128">
        <v>42500</v>
      </c>
      <c r="EO35" s="589">
        <f t="shared" si="88"/>
        <v>417</v>
      </c>
      <c r="EP35" s="128">
        <v>42552</v>
      </c>
      <c r="EQ35" s="128">
        <v>42906</v>
      </c>
      <c r="ER35" s="589">
        <f t="shared" si="89"/>
        <v>354</v>
      </c>
      <c r="ES35" s="590">
        <v>42615</v>
      </c>
      <c r="ET35" s="591">
        <v>42604</v>
      </c>
      <c r="EU35" s="593">
        <f t="shared" si="90"/>
        <v>-11</v>
      </c>
      <c r="EV35" s="592">
        <v>42705</v>
      </c>
      <c r="EW35" s="592">
        <v>42906</v>
      </c>
      <c r="EX35" s="589">
        <f t="shared" si="91"/>
        <v>201</v>
      </c>
      <c r="EY35" s="128">
        <v>42775</v>
      </c>
      <c r="EZ35" s="128">
        <v>43035</v>
      </c>
      <c r="FA35" s="589">
        <f t="shared" si="92"/>
        <v>260</v>
      </c>
      <c r="FB35" s="128">
        <v>42801</v>
      </c>
      <c r="FC35" s="128">
        <v>42979</v>
      </c>
      <c r="FD35" s="589">
        <f t="shared" si="93"/>
        <v>178</v>
      </c>
      <c r="FE35" s="128">
        <v>42818</v>
      </c>
      <c r="FF35" s="128">
        <v>43017</v>
      </c>
      <c r="FG35" s="589">
        <f t="shared" si="94"/>
        <v>199</v>
      </c>
      <c r="FH35" s="600">
        <v>42879</v>
      </c>
      <c r="FI35" s="600">
        <v>43149</v>
      </c>
      <c r="FJ35" s="596">
        <f t="shared" si="95"/>
        <v>270</v>
      </c>
      <c r="FK35" s="600">
        <v>43059</v>
      </c>
      <c r="FL35" s="600" t="s">
        <v>611</v>
      </c>
      <c r="FM35" s="600">
        <v>43069</v>
      </c>
      <c r="FN35" s="600">
        <v>42891</v>
      </c>
      <c r="FO35" s="600">
        <f>CR35</f>
        <v>43171</v>
      </c>
      <c r="FP35" s="598">
        <f t="shared" si="27"/>
        <v>13.033333333333333</v>
      </c>
      <c r="FQ35" s="600">
        <v>42921</v>
      </c>
      <c r="FR35" s="600">
        <f>CW35</f>
        <v>43220</v>
      </c>
      <c r="FS35" s="627">
        <v>0</v>
      </c>
      <c r="FT35" s="627">
        <v>55516</v>
      </c>
      <c r="FU35" s="627"/>
      <c r="FV35" s="627"/>
      <c r="FW35" s="628">
        <f t="shared" si="96"/>
        <v>26.566666666666666</v>
      </c>
      <c r="FX35" s="628">
        <f t="shared" si="29"/>
        <v>9.9666666666666668</v>
      </c>
      <c r="FY35" s="625" t="s">
        <v>811</v>
      </c>
      <c r="FZ35" s="625" t="s">
        <v>864</v>
      </c>
      <c r="GA35" s="625" t="s">
        <v>812</v>
      </c>
      <c r="GB35" s="626" t="s">
        <v>813</v>
      </c>
      <c r="GC35" s="114"/>
      <c r="GD35" s="118"/>
      <c r="GE35" s="22">
        <f t="shared" si="74"/>
        <v>1626116.0295668198</v>
      </c>
      <c r="GF35" s="478">
        <f>GP35+GT35+HA35+HT35+HB35+HE35</f>
        <v>1895849.0295668198</v>
      </c>
      <c r="GG35" s="48">
        <f t="shared" si="30"/>
        <v>269733</v>
      </c>
      <c r="GH35" s="23">
        <f t="shared" si="31"/>
        <v>2208.3016267333169</v>
      </c>
      <c r="GI35" s="23">
        <f t="shared" si="32"/>
        <v>210649.89217409107</v>
      </c>
      <c r="GJ35" s="22">
        <v>1344547</v>
      </c>
      <c r="GK35" s="478">
        <v>1545657.7250008537</v>
      </c>
      <c r="GL35" s="48">
        <f t="shared" si="97"/>
        <v>201110.72500085365</v>
      </c>
      <c r="GM35" s="137">
        <f t="shared" ref="GM35:GM62" si="101">GK35*1.021/GF35</f>
        <v>0.83240622676925557</v>
      </c>
      <c r="GN35" s="138"/>
      <c r="GO35" s="22">
        <v>478312</v>
      </c>
      <c r="GP35" s="478">
        <v>614225</v>
      </c>
      <c r="GQ35" s="23">
        <f t="shared" si="35"/>
        <v>68247.222222222219</v>
      </c>
      <c r="GR35" s="39">
        <f t="shared" si="36"/>
        <v>135913</v>
      </c>
      <c r="GS35" s="22">
        <v>980627</v>
      </c>
      <c r="GT35" s="478">
        <f>GU35+GV35</f>
        <v>1199946</v>
      </c>
      <c r="GU35" s="480">
        <v>270994</v>
      </c>
      <c r="GV35" s="480">
        <v>928952</v>
      </c>
      <c r="GW35" s="39">
        <f t="shared" si="38"/>
        <v>219319</v>
      </c>
      <c r="GX35" s="23">
        <f t="shared" si="39"/>
        <v>133327.33333333334</v>
      </c>
      <c r="GY35" s="478">
        <v>0</v>
      </c>
      <c r="GZ35" s="22">
        <v>85500</v>
      </c>
      <c r="HA35" s="478">
        <v>1</v>
      </c>
      <c r="HB35" s="75">
        <v>0</v>
      </c>
      <c r="HC35" s="41">
        <f t="shared" si="40"/>
        <v>5.2746816038853512E-7</v>
      </c>
      <c r="HD35" s="329"/>
      <c r="HE35" s="478">
        <v>0</v>
      </c>
      <c r="HF35" s="21">
        <f t="shared" si="62"/>
        <v>-85499</v>
      </c>
      <c r="HG35" s="49">
        <f t="shared" si="41"/>
        <v>0.1111111111111111</v>
      </c>
      <c r="HH35" s="84"/>
      <c r="HI35" s="24">
        <f>HF35/AD34</f>
        <v>-5699.9333333333334</v>
      </c>
      <c r="HJ35" s="50">
        <v>5.7</v>
      </c>
      <c r="HK35" s="50">
        <v>5.59</v>
      </c>
      <c r="HL35" s="40">
        <v>0</v>
      </c>
      <c r="HM35" s="40">
        <v>0</v>
      </c>
      <c r="HN35" s="23" t="e">
        <f>(GP35+HA35+HM35)/#REF!</f>
        <v>#REF!</v>
      </c>
      <c r="HO35" s="40"/>
      <c r="HP35" s="23" t="e">
        <f>(GP35+HA35+HM35+HO35)/#REF!</f>
        <v>#REF!</v>
      </c>
      <c r="HQ35" s="53">
        <f t="shared" si="45"/>
        <v>0.32398465828280837</v>
      </c>
      <c r="HR35" s="40"/>
      <c r="HS35" s="40"/>
      <c r="HT35" s="483">
        <v>81677.029566819663</v>
      </c>
      <c r="HU35" s="42">
        <f t="shared" si="98"/>
        <v>1895849.0295668198</v>
      </c>
      <c r="HV35" s="296">
        <v>91876</v>
      </c>
      <c r="HW35" s="296" t="e">
        <f t="shared" si="99"/>
        <v>#VALUE!</v>
      </c>
      <c r="HX35" s="119">
        <v>41324</v>
      </c>
      <c r="HY35" s="245">
        <v>7458</v>
      </c>
      <c r="HZ35" s="128"/>
      <c r="IA35" s="119"/>
      <c r="IB35" s="119">
        <v>41681</v>
      </c>
      <c r="IC35" s="245">
        <v>5456</v>
      </c>
      <c r="ID35" s="119"/>
      <c r="IE35" s="245"/>
      <c r="IF35" s="135">
        <v>41773</v>
      </c>
      <c r="IG35" s="245">
        <v>17627</v>
      </c>
      <c r="IH35" s="128">
        <v>41946</v>
      </c>
      <c r="II35" s="350">
        <v>13089</v>
      </c>
      <c r="IJ35" s="341"/>
      <c r="IK35" s="341"/>
      <c r="IL35" s="128" t="s">
        <v>133</v>
      </c>
      <c r="IM35" s="245"/>
      <c r="IN35" s="128" t="s">
        <v>133</v>
      </c>
      <c r="IO35" s="245"/>
      <c r="IP35" s="128">
        <v>42594</v>
      </c>
      <c r="IQ35" s="245">
        <v>17699</v>
      </c>
      <c r="IR35" s="128">
        <v>42712</v>
      </c>
      <c r="IS35" s="245">
        <v>5451</v>
      </c>
      <c r="IT35" s="252">
        <v>42985</v>
      </c>
      <c r="IU35" s="312" t="s">
        <v>611</v>
      </c>
      <c r="IV35" s="252">
        <v>42985</v>
      </c>
      <c r="IW35" s="312"/>
      <c r="IX35" s="252">
        <v>42985</v>
      </c>
      <c r="IY35" s="312">
        <v>15909</v>
      </c>
      <c r="IZ35" s="245"/>
      <c r="JA35" s="128"/>
      <c r="JB35" s="120"/>
      <c r="JC35" s="128"/>
      <c r="JD35" s="128"/>
      <c r="JE35" s="120"/>
    </row>
    <row r="36" spans="1:265" ht="24.95" customHeight="1">
      <c r="A36" s="86" t="s">
        <v>284</v>
      </c>
      <c r="B36" s="20" t="s">
        <v>35</v>
      </c>
      <c r="C36" s="20" t="s">
        <v>117</v>
      </c>
      <c r="D36" s="20">
        <v>2014</v>
      </c>
      <c r="E36" s="20" t="s">
        <v>209</v>
      </c>
      <c r="F36" s="20" t="s">
        <v>424</v>
      </c>
      <c r="G36" s="20" t="s">
        <v>461</v>
      </c>
      <c r="H36" s="20" t="s">
        <v>265</v>
      </c>
      <c r="I36" s="57"/>
      <c r="J36" s="57"/>
      <c r="K36" s="218"/>
      <c r="L36" s="173"/>
      <c r="M36" s="109"/>
      <c r="N36" s="110"/>
      <c r="O36" s="224">
        <f>1032+357+882+400</f>
        <v>2671</v>
      </c>
      <c r="P36" s="224">
        <f>Q36</f>
        <v>637295</v>
      </c>
      <c r="Q36" s="224">
        <v>637295</v>
      </c>
      <c r="R36" s="219">
        <f>P36/AD36</f>
        <v>13559.468085106382</v>
      </c>
      <c r="S36" s="224">
        <f t="shared" si="66"/>
        <v>238.5979034069637</v>
      </c>
      <c r="T36" s="225">
        <f t="shared" si="67"/>
        <v>238.5979034069637</v>
      </c>
      <c r="U36" s="225">
        <f t="shared" si="69"/>
        <v>167.06075103217773</v>
      </c>
      <c r="V36" s="225">
        <f t="shared" si="70"/>
        <v>13559.468085106382</v>
      </c>
      <c r="W36" s="219">
        <f t="shared" si="71"/>
        <v>56.829787234042556</v>
      </c>
      <c r="X36" s="226"/>
      <c r="Y36" s="227">
        <f t="shared" si="72"/>
        <v>1.428210408086859</v>
      </c>
      <c r="Z36" s="226" t="s">
        <v>197</v>
      </c>
      <c r="AA36" s="461">
        <v>512</v>
      </c>
      <c r="AB36" s="462"/>
      <c r="AC36" s="20" t="s">
        <v>16</v>
      </c>
      <c r="AD36" s="345">
        <f t="shared" si="75"/>
        <v>47</v>
      </c>
      <c r="AE36" s="55"/>
      <c r="AF36" s="20">
        <v>47</v>
      </c>
      <c r="AG36" s="57"/>
      <c r="AH36" s="57"/>
      <c r="AI36" s="465">
        <v>4397.1499999999996</v>
      </c>
      <c r="AJ36" s="466">
        <v>3814.75</v>
      </c>
      <c r="AK36" s="9">
        <f t="shared" si="1"/>
        <v>81.164893617021278</v>
      </c>
      <c r="AL36" s="63"/>
      <c r="AM36" s="63"/>
      <c r="AN36" s="63"/>
      <c r="AO36" s="63"/>
      <c r="AP36" s="63"/>
      <c r="AQ36" s="465"/>
      <c r="AR36" s="80">
        <v>0</v>
      </c>
      <c r="AS36" s="82">
        <f t="shared" si="58"/>
        <v>0</v>
      </c>
      <c r="AT36" s="61">
        <v>4.5</v>
      </c>
      <c r="AU36" s="59" t="s">
        <v>621</v>
      </c>
      <c r="AV36" s="20" t="s">
        <v>125</v>
      </c>
      <c r="AW36" s="255">
        <v>41591</v>
      </c>
      <c r="AX36" s="255">
        <v>41771</v>
      </c>
      <c r="AY36" s="113" t="s">
        <v>12</v>
      </c>
      <c r="AZ36" s="113" t="s">
        <v>247</v>
      </c>
      <c r="BA36" s="36" t="s">
        <v>177</v>
      </c>
      <c r="BB36" s="216">
        <v>41800</v>
      </c>
      <c r="BC36" s="102"/>
      <c r="BD36" s="102">
        <v>41935</v>
      </c>
      <c r="BE36" s="216">
        <v>41957</v>
      </c>
      <c r="BF36" s="102"/>
      <c r="BG36" s="171">
        <v>41989</v>
      </c>
      <c r="BH36" s="214">
        <v>41990</v>
      </c>
      <c r="BI36" s="172"/>
      <c r="BJ36" s="172" t="s">
        <v>133</v>
      </c>
      <c r="BK36" s="323">
        <v>42080</v>
      </c>
      <c r="BL36" s="322">
        <f t="shared" si="2"/>
        <v>42811</v>
      </c>
      <c r="BM36" s="322">
        <f t="shared" si="3"/>
        <v>43176</v>
      </c>
      <c r="BN36" s="322" t="str">
        <f t="shared" si="61"/>
        <v>non</v>
      </c>
      <c r="BO36" s="176" t="s">
        <v>276</v>
      </c>
      <c r="BP36" s="37" t="s">
        <v>330</v>
      </c>
      <c r="BQ36" s="200" t="s">
        <v>350</v>
      </c>
      <c r="BR36" s="104"/>
      <c r="BS36" s="104">
        <v>42276</v>
      </c>
      <c r="BT36" s="104"/>
      <c r="BU36" s="167" t="s">
        <v>149</v>
      </c>
      <c r="BV36" s="333">
        <v>41992</v>
      </c>
      <c r="BW36" s="268"/>
      <c r="BX36" s="660">
        <v>7100881.4887365336</v>
      </c>
      <c r="BY36" s="174">
        <f>DATE(YEAR(BV36),MONTH(BV36)+18,DAY(BV36))</f>
        <v>42540</v>
      </c>
      <c r="BZ36" s="268"/>
      <c r="CA36" s="333">
        <v>42143</v>
      </c>
      <c r="CB36" s="268">
        <v>42662</v>
      </c>
      <c r="CC36" s="681">
        <f t="shared" si="68"/>
        <v>0.66666666666666663</v>
      </c>
      <c r="CD36" s="511"/>
      <c r="CE36" s="380">
        <v>42037</v>
      </c>
      <c r="CF36" s="376">
        <v>2015</v>
      </c>
      <c r="CG36" s="496">
        <f t="shared" si="76"/>
        <v>7.9</v>
      </c>
      <c r="CH36" s="256">
        <v>18</v>
      </c>
      <c r="CI36" s="130">
        <f t="shared" si="100"/>
        <v>19</v>
      </c>
      <c r="CJ36" s="257">
        <f t="shared" si="77"/>
        <v>19</v>
      </c>
      <c r="CK36" s="257">
        <f t="shared" si="78"/>
        <v>21</v>
      </c>
      <c r="CL36" s="257">
        <f t="shared" si="79"/>
        <v>1</v>
      </c>
      <c r="CM36" s="257">
        <f t="shared" si="80"/>
        <v>2</v>
      </c>
      <c r="CN36" s="248">
        <f>245360.943389331/12</f>
        <v>20446.745282444248</v>
      </c>
      <c r="CO36" s="248">
        <f>CN36*(CK36-CH36)</f>
        <v>61340.235847332748</v>
      </c>
      <c r="CP36" s="250">
        <v>42591</v>
      </c>
      <c r="CQ36" s="652">
        <f t="shared" si="81"/>
        <v>42584</v>
      </c>
      <c r="CR36" s="391">
        <f>DATE(YEAR(CE36),MONTH(CE36)+CH36+1,DAY(CE36))</f>
        <v>42615</v>
      </c>
      <c r="CS36" s="709">
        <f t="shared" si="73"/>
        <v>42874</v>
      </c>
      <c r="CT36" s="380">
        <v>42657</v>
      </c>
      <c r="CU36" s="274" t="s">
        <v>521</v>
      </c>
      <c r="CV36" s="746"/>
      <c r="CW36" s="706">
        <v>42682</v>
      </c>
      <c r="CX36" s="515">
        <v>2016</v>
      </c>
      <c r="CY36" s="251" t="s">
        <v>133</v>
      </c>
      <c r="CZ36" s="124"/>
      <c r="DA36" s="124"/>
      <c r="DB36" s="251"/>
      <c r="DC36" s="251" t="s">
        <v>602</v>
      </c>
      <c r="DD36" s="251" t="s">
        <v>133</v>
      </c>
      <c r="DE36" s="251"/>
      <c r="DF36" s="57"/>
      <c r="DG36" s="255">
        <v>42710</v>
      </c>
      <c r="DH36" s="255">
        <v>42779</v>
      </c>
      <c r="DI36" s="57"/>
      <c r="DJ36" s="57"/>
      <c r="DK36" s="352" t="s">
        <v>177</v>
      </c>
      <c r="DL36" s="352" t="s">
        <v>133</v>
      </c>
      <c r="DM36" s="352"/>
      <c r="DN36" s="354" t="s">
        <v>645</v>
      </c>
      <c r="DO36" s="249">
        <v>42808</v>
      </c>
      <c r="DP36" s="249"/>
      <c r="DQ36" s="57"/>
      <c r="DR36" s="57"/>
      <c r="DS36" s="128"/>
      <c r="DT36" s="128"/>
      <c r="DU36" s="128"/>
      <c r="DV36" s="589" t="str">
        <f t="shared" si="82"/>
        <v>0</v>
      </c>
      <c r="DW36" s="128"/>
      <c r="DX36" s="128"/>
      <c r="DY36" s="589" t="str">
        <f t="shared" si="83"/>
        <v>0</v>
      </c>
      <c r="DZ36" s="128"/>
      <c r="EA36" s="128"/>
      <c r="EB36" s="589" t="str">
        <f t="shared" si="84"/>
        <v>0</v>
      </c>
      <c r="EC36" s="128"/>
      <c r="ED36" s="128"/>
      <c r="EE36" s="589" t="str">
        <f t="shared" si="85"/>
        <v>0</v>
      </c>
      <c r="EF36" s="135"/>
      <c r="EG36" s="646"/>
      <c r="EH36" s="589" t="str">
        <f t="shared" si="86"/>
        <v>0</v>
      </c>
      <c r="EI36" s="245"/>
      <c r="EJ36" s="128"/>
      <c r="EK36" s="245"/>
      <c r="EL36" s="589" t="str">
        <f t="shared" si="87"/>
        <v>0</v>
      </c>
      <c r="EM36" s="128"/>
      <c r="EN36" s="245"/>
      <c r="EO36" s="589" t="str">
        <f t="shared" si="88"/>
        <v>0</v>
      </c>
      <c r="EP36" s="128"/>
      <c r="EQ36" s="245"/>
      <c r="ER36" s="589" t="str">
        <f t="shared" si="89"/>
        <v>0</v>
      </c>
      <c r="ES36" s="648"/>
      <c r="ET36" s="644"/>
      <c r="EU36" s="593" t="str">
        <f t="shared" si="90"/>
        <v>0</v>
      </c>
      <c r="EV36" s="135"/>
      <c r="EW36" s="649"/>
      <c r="EX36" s="589" t="str">
        <f t="shared" si="91"/>
        <v>0</v>
      </c>
      <c r="EY36" s="128"/>
      <c r="EZ36" s="128"/>
      <c r="FA36" s="589" t="str">
        <f t="shared" si="92"/>
        <v>0</v>
      </c>
      <c r="FB36" s="128"/>
      <c r="FC36" s="128"/>
      <c r="FD36" s="589" t="str">
        <f t="shared" si="93"/>
        <v>0</v>
      </c>
      <c r="FE36" s="128"/>
      <c r="FF36" s="128"/>
      <c r="FG36" s="589" t="str">
        <f t="shared" si="94"/>
        <v>0</v>
      </c>
      <c r="FH36" s="128"/>
      <c r="FI36" s="128"/>
      <c r="FJ36" s="589" t="str">
        <f t="shared" si="95"/>
        <v>0</v>
      </c>
      <c r="FK36" s="128"/>
      <c r="FL36" s="128"/>
      <c r="FM36" s="128"/>
      <c r="FN36" s="600"/>
      <c r="FO36" s="600"/>
      <c r="FP36" s="598">
        <f t="shared" si="27"/>
        <v>0</v>
      </c>
      <c r="FQ36" s="600"/>
      <c r="FR36" s="600"/>
      <c r="FS36" s="623"/>
      <c r="FT36" s="623"/>
      <c r="FU36" s="627"/>
      <c r="FV36" s="627"/>
      <c r="FW36" s="628">
        <f t="shared" si="96"/>
        <v>0</v>
      </c>
      <c r="FX36" s="628">
        <f t="shared" si="29"/>
        <v>0</v>
      </c>
      <c r="FY36" s="624"/>
      <c r="FZ36" s="641"/>
      <c r="GA36" s="624"/>
      <c r="GB36" s="624"/>
      <c r="GC36" s="114"/>
      <c r="GD36" s="723"/>
      <c r="GE36" s="22">
        <f t="shared" si="74"/>
        <v>9070838.1099999994</v>
      </c>
      <c r="GF36" s="478">
        <f>GP36+GT36+HA36+HT36+HB36+HE36-46236</f>
        <v>7847372.4299999997</v>
      </c>
      <c r="GG36" s="48">
        <f t="shared" si="30"/>
        <v>-1223465.6799999997</v>
      </c>
      <c r="GH36" s="23">
        <f t="shared" si="31"/>
        <v>1784.649700374106</v>
      </c>
      <c r="GI36" s="23">
        <f t="shared" si="32"/>
        <v>166965.37085106381</v>
      </c>
      <c r="GJ36" s="22">
        <v>7995841</v>
      </c>
      <c r="GK36" s="478">
        <v>6785519</v>
      </c>
      <c r="GL36" s="48">
        <f t="shared" si="97"/>
        <v>-1210322</v>
      </c>
      <c r="GM36" s="137">
        <f t="shared" si="101"/>
        <v>0.8828451766242984</v>
      </c>
      <c r="GN36" s="138"/>
      <c r="GO36" s="22">
        <v>2612892.11</v>
      </c>
      <c r="GP36" s="478">
        <v>2234701</v>
      </c>
      <c r="GQ36" s="23">
        <f t="shared" si="35"/>
        <v>47546.829787234041</v>
      </c>
      <c r="GR36" s="39">
        <f t="shared" si="36"/>
        <v>-378191.10999999987</v>
      </c>
      <c r="GS36" s="22">
        <v>5339946</v>
      </c>
      <c r="GT36" s="478">
        <f>GU36+GV36</f>
        <v>4540907.43</v>
      </c>
      <c r="GU36" s="480">
        <v>1362272</v>
      </c>
      <c r="GV36" s="480">
        <v>3178635.43</v>
      </c>
      <c r="GW36" s="39">
        <f t="shared" si="38"/>
        <v>-799038.5700000003</v>
      </c>
      <c r="GX36" s="23">
        <f t="shared" si="39"/>
        <v>96615.051702127646</v>
      </c>
      <c r="GY36" s="478">
        <v>0</v>
      </c>
      <c r="GZ36" s="22">
        <v>1118000</v>
      </c>
      <c r="HA36" s="478">
        <f>GZ36</f>
        <v>1118000</v>
      </c>
      <c r="HB36" s="75">
        <v>0</v>
      </c>
      <c r="HC36" s="41">
        <f t="shared" si="40"/>
        <v>0.14246806940447454</v>
      </c>
      <c r="HD36" s="329"/>
      <c r="HE36" s="478">
        <v>0</v>
      </c>
      <c r="HF36" s="21">
        <f t="shared" si="62"/>
        <v>0</v>
      </c>
      <c r="HG36" s="49">
        <f t="shared" si="41"/>
        <v>23787.234042553191</v>
      </c>
      <c r="HH36" s="84">
        <f t="shared" ref="HH36:HH43" si="102">(GP36+HA36)/AD36</f>
        <v>71334.063829787236</v>
      </c>
      <c r="HI36" s="21">
        <f t="shared" ref="HI36:HI46" si="103">HF36/AD36</f>
        <v>0</v>
      </c>
      <c r="HJ36" s="51">
        <v>5.07</v>
      </c>
      <c r="HK36" s="51">
        <v>4.96</v>
      </c>
      <c r="HL36" s="481">
        <v>0</v>
      </c>
      <c r="HM36" s="481">
        <v>0</v>
      </c>
      <c r="HN36" s="49">
        <f>(GP36+HA36+HM36)/AD36</f>
        <v>71334.063829787236</v>
      </c>
      <c r="HO36" s="481">
        <v>0</v>
      </c>
      <c r="HP36" s="49">
        <f>(GP36+HA36+HM36+HO36)/AD36</f>
        <v>71334.063829787236</v>
      </c>
      <c r="HQ36" s="53">
        <f t="shared" si="45"/>
        <v>0.42723867509879354</v>
      </c>
      <c r="HR36" s="481">
        <v>0</v>
      </c>
      <c r="HS36" s="481"/>
      <c r="HT36" s="484">
        <v>0</v>
      </c>
      <c r="HU36" s="42">
        <f t="shared" si="98"/>
        <v>7847372.4299999997</v>
      </c>
      <c r="HV36" s="245"/>
      <c r="HW36" s="245">
        <f t="shared" si="99"/>
        <v>0</v>
      </c>
      <c r="HX36" s="119"/>
      <c r="HY36" s="245"/>
      <c r="HZ36" s="245"/>
      <c r="IA36" s="119"/>
      <c r="IB36" s="119"/>
      <c r="IC36" s="245"/>
      <c r="ID36" s="119"/>
      <c r="IE36" s="245"/>
      <c r="IF36" s="119"/>
      <c r="IG36" s="245"/>
      <c r="IH36" s="120"/>
      <c r="II36" s="350"/>
      <c r="IJ36" s="341"/>
      <c r="IK36" s="341"/>
      <c r="IL36" s="128"/>
      <c r="IM36" s="245"/>
      <c r="IN36" s="128"/>
      <c r="IO36" s="245"/>
      <c r="IP36" s="120"/>
      <c r="IQ36" s="120"/>
      <c r="IR36" s="120"/>
      <c r="IS36" s="120"/>
      <c r="IT36" s="289"/>
      <c r="IU36" s="289"/>
      <c r="IV36" s="289"/>
      <c r="IW36" s="289"/>
      <c r="IX36" s="289"/>
      <c r="IY36" s="289"/>
      <c r="IZ36" s="245"/>
      <c r="JA36" s="128"/>
      <c r="JB36" s="120"/>
      <c r="JC36" s="128"/>
      <c r="JD36" s="128"/>
      <c r="JE36" s="120"/>
    </row>
    <row r="37" spans="1:265" ht="24.95" customHeight="1">
      <c r="A37" s="88" t="s">
        <v>246</v>
      </c>
      <c r="B37" s="7" t="s">
        <v>35</v>
      </c>
      <c r="C37" s="7" t="s">
        <v>117</v>
      </c>
      <c r="D37" s="7">
        <v>2014</v>
      </c>
      <c r="E37" s="7" t="s">
        <v>352</v>
      </c>
      <c r="F37" s="7" t="s">
        <v>58</v>
      </c>
      <c r="G37" s="7" t="s">
        <v>697</v>
      </c>
      <c r="H37" s="7" t="s">
        <v>182</v>
      </c>
      <c r="I37" s="56"/>
      <c r="J37" s="56"/>
      <c r="K37" s="275"/>
      <c r="L37" s="173"/>
      <c r="M37" s="109"/>
      <c r="N37" s="110"/>
      <c r="O37" s="225">
        <v>3512</v>
      </c>
      <c r="P37" s="225">
        <f>Q37</f>
        <v>977347</v>
      </c>
      <c r="Q37" s="225">
        <v>977347</v>
      </c>
      <c r="R37" s="219">
        <f>P37/AD37</f>
        <v>19546.939999999999</v>
      </c>
      <c r="S37" s="225">
        <f t="shared" si="66"/>
        <v>278.28787015945329</v>
      </c>
      <c r="T37" s="225">
        <f t="shared" si="67"/>
        <v>278.28787015945329</v>
      </c>
      <c r="U37" s="225">
        <f t="shared" si="69"/>
        <v>217.55371245915362</v>
      </c>
      <c r="V37" s="225">
        <f t="shared" si="70"/>
        <v>19546.939999999999</v>
      </c>
      <c r="W37" s="219">
        <f t="shared" si="71"/>
        <v>70.239999999999995</v>
      </c>
      <c r="X37" s="229"/>
      <c r="Y37" s="230">
        <f t="shared" si="72"/>
        <v>1.2791685649202733</v>
      </c>
      <c r="Z37" s="229" t="s">
        <v>203</v>
      </c>
      <c r="AA37" s="222"/>
      <c r="AB37" s="223"/>
      <c r="AC37" s="7" t="s">
        <v>16</v>
      </c>
      <c r="AD37" s="345">
        <f t="shared" si="75"/>
        <v>50</v>
      </c>
      <c r="AE37" s="8"/>
      <c r="AF37" s="7">
        <v>50</v>
      </c>
      <c r="AG37" s="56"/>
      <c r="AH37" s="56"/>
      <c r="AI37" s="9">
        <v>4457.88</v>
      </c>
      <c r="AJ37" s="85">
        <v>4492.4399999999996</v>
      </c>
      <c r="AK37" s="9">
        <f t="shared" si="1"/>
        <v>89.848799999999997</v>
      </c>
      <c r="AL37" s="62"/>
      <c r="AM37" s="62"/>
      <c r="AN37" s="62"/>
      <c r="AO37" s="62"/>
      <c r="AP37" s="62"/>
      <c r="AQ37" s="9"/>
      <c r="AR37" s="79">
        <v>0</v>
      </c>
      <c r="AS37" s="81">
        <f t="shared" si="58"/>
        <v>0</v>
      </c>
      <c r="AT37" s="60">
        <v>4</v>
      </c>
      <c r="AU37" s="59" t="s">
        <v>621</v>
      </c>
      <c r="AV37" s="7" t="s">
        <v>125</v>
      </c>
      <c r="AW37" s="202">
        <v>41591</v>
      </c>
      <c r="AX37" s="56"/>
      <c r="AY37" s="113" t="s">
        <v>12</v>
      </c>
      <c r="AZ37" s="113" t="s">
        <v>259</v>
      </c>
      <c r="BA37" s="451" t="s">
        <v>177</v>
      </c>
      <c r="BB37" s="216">
        <v>41848</v>
      </c>
      <c r="BC37" s="102"/>
      <c r="BD37" s="102">
        <v>41962</v>
      </c>
      <c r="BE37" s="216">
        <v>42195</v>
      </c>
      <c r="BF37" s="102"/>
      <c r="BG37" s="171">
        <v>42228</v>
      </c>
      <c r="BH37" s="214">
        <v>42250</v>
      </c>
      <c r="BI37" s="172">
        <v>42328</v>
      </c>
      <c r="BJ37" s="172">
        <v>42264</v>
      </c>
      <c r="BK37" s="323">
        <v>42325</v>
      </c>
      <c r="BL37" s="322">
        <f t="shared" si="2"/>
        <v>43056</v>
      </c>
      <c r="BM37" s="322">
        <f t="shared" si="3"/>
        <v>43421</v>
      </c>
      <c r="BN37" s="322" t="str">
        <f t="shared" si="61"/>
        <v>oui</v>
      </c>
      <c r="BO37" s="172" t="s">
        <v>133</v>
      </c>
      <c r="BP37" s="37" t="s">
        <v>383</v>
      </c>
      <c r="BQ37" s="103"/>
      <c r="BR37" s="104">
        <v>42401</v>
      </c>
      <c r="BS37" s="104">
        <v>42410</v>
      </c>
      <c r="BT37" s="104">
        <v>42360</v>
      </c>
      <c r="BU37" s="167" t="s">
        <v>72</v>
      </c>
      <c r="BV37" s="333">
        <v>42333</v>
      </c>
      <c r="BW37" s="450" t="s">
        <v>402</v>
      </c>
      <c r="BX37" s="660">
        <v>8009024.4900000002</v>
      </c>
      <c r="BY37" s="661">
        <f>DATE(YEAR(BV37),MONTH(BV37)+18,DAY(BV37))</f>
        <v>42880</v>
      </c>
      <c r="BZ37" s="661">
        <f>DATE(YEAR(BV37),MONTH(BV37)+24,DAY(BV37))</f>
        <v>43064</v>
      </c>
      <c r="CA37" s="373">
        <v>42636</v>
      </c>
      <c r="CB37" s="268">
        <v>43157</v>
      </c>
      <c r="CC37" s="681">
        <f t="shared" si="68"/>
        <v>1.6</v>
      </c>
      <c r="CD37" s="81"/>
      <c r="CE37" s="380">
        <v>42348</v>
      </c>
      <c r="CF37" s="376">
        <v>2015</v>
      </c>
      <c r="CG37" s="496">
        <f t="shared" si="76"/>
        <v>16.666666666666668</v>
      </c>
      <c r="CH37" s="260">
        <v>24</v>
      </c>
      <c r="CI37" s="260">
        <f t="shared" si="100"/>
        <v>25</v>
      </c>
      <c r="CJ37" s="257">
        <f t="shared" si="77"/>
        <v>27</v>
      </c>
      <c r="CK37" s="257">
        <f t="shared" si="78"/>
        <v>28</v>
      </c>
      <c r="CL37" s="257">
        <f t="shared" si="79"/>
        <v>3</v>
      </c>
      <c r="CM37" s="257">
        <f t="shared" si="80"/>
        <v>3</v>
      </c>
      <c r="CN37" s="248">
        <f>279622.113674809/12</f>
        <v>23301.842806234083</v>
      </c>
      <c r="CO37" s="247">
        <f t="shared" ref="CO37:CO68" si="104">CN37*(CJ37-CH37)</f>
        <v>69905.528418702248</v>
      </c>
      <c r="CP37" s="343">
        <v>43017</v>
      </c>
      <c r="CQ37" s="698">
        <f t="shared" si="81"/>
        <v>43079</v>
      </c>
      <c r="CR37" s="446">
        <v>43189</v>
      </c>
      <c r="CS37" s="709">
        <f t="shared" si="73"/>
        <v>43366</v>
      </c>
      <c r="CT37" s="713"/>
      <c r="CU37" s="134"/>
      <c r="CV37" s="715">
        <v>43189</v>
      </c>
      <c r="CW37" s="506">
        <v>43205</v>
      </c>
      <c r="CX37" s="654"/>
      <c r="CY37" s="292" t="s">
        <v>748</v>
      </c>
      <c r="CZ37" s="127"/>
      <c r="DA37" s="127"/>
      <c r="DB37" s="127"/>
      <c r="DC37" s="127"/>
      <c r="DD37" s="127"/>
      <c r="DE37" s="56"/>
      <c r="DF37" s="56"/>
      <c r="DG37" s="56"/>
      <c r="DH37" s="56"/>
      <c r="DI37" s="56"/>
      <c r="DJ37" s="56"/>
      <c r="DK37" s="56"/>
      <c r="DL37" s="56"/>
      <c r="DM37" s="56"/>
      <c r="DN37" s="196"/>
      <c r="DO37" s="56"/>
      <c r="DP37" s="56"/>
      <c r="DQ37" s="56"/>
      <c r="DR37" s="56"/>
      <c r="DS37" s="128"/>
      <c r="DT37" s="128"/>
      <c r="DU37" s="128"/>
      <c r="DV37" s="621" t="str">
        <f t="shared" si="82"/>
        <v>0</v>
      </c>
      <c r="DW37" s="128">
        <v>41676</v>
      </c>
      <c r="DX37" s="128">
        <v>40946</v>
      </c>
      <c r="DY37" s="621">
        <f t="shared" si="83"/>
        <v>-730</v>
      </c>
      <c r="DZ37" s="128"/>
      <c r="EA37" s="128"/>
      <c r="EB37" s="621" t="str">
        <f t="shared" si="84"/>
        <v>0</v>
      </c>
      <c r="EC37" s="128"/>
      <c r="ED37" s="128"/>
      <c r="EE37" s="621" t="str">
        <f t="shared" si="85"/>
        <v>0</v>
      </c>
      <c r="EF37" s="128"/>
      <c r="EG37" s="128"/>
      <c r="EH37" s="621" t="str">
        <f t="shared" si="86"/>
        <v>0</v>
      </c>
      <c r="EI37" s="128"/>
      <c r="EJ37" s="128"/>
      <c r="EK37" s="128"/>
      <c r="EL37" s="621" t="str">
        <f t="shared" si="87"/>
        <v>0</v>
      </c>
      <c r="EM37" s="128">
        <v>42349</v>
      </c>
      <c r="EN37" s="128">
        <v>42348</v>
      </c>
      <c r="EO37" s="589">
        <f t="shared" si="88"/>
        <v>-1</v>
      </c>
      <c r="EP37" s="128"/>
      <c r="EQ37" s="128"/>
      <c r="ER37" s="589" t="str">
        <f t="shared" si="89"/>
        <v>0</v>
      </c>
      <c r="ES37" s="592"/>
      <c r="ET37" s="591">
        <v>42606</v>
      </c>
      <c r="EU37" s="593" t="str">
        <f t="shared" si="90"/>
        <v>0</v>
      </c>
      <c r="EV37" s="592"/>
      <c r="EW37" s="592"/>
      <c r="EX37" s="589" t="str">
        <f t="shared" si="91"/>
        <v>0</v>
      </c>
      <c r="EY37" s="128"/>
      <c r="EZ37" s="128">
        <v>42929</v>
      </c>
      <c r="FA37" s="589" t="str">
        <f t="shared" si="92"/>
        <v>0</v>
      </c>
      <c r="FB37" s="128"/>
      <c r="FC37" s="128">
        <v>43034</v>
      </c>
      <c r="FD37" s="589" t="str">
        <f t="shared" si="93"/>
        <v>0</v>
      </c>
      <c r="FE37" s="128"/>
      <c r="FF37" s="128"/>
      <c r="FG37" s="589" t="str">
        <f t="shared" si="94"/>
        <v>0</v>
      </c>
      <c r="FH37" s="600"/>
      <c r="FI37" s="600">
        <v>43052</v>
      </c>
      <c r="FJ37" s="596" t="str">
        <f t="shared" si="95"/>
        <v>0</v>
      </c>
      <c r="FK37" s="600"/>
      <c r="FL37" s="600"/>
      <c r="FM37" s="600"/>
      <c r="FN37" s="600">
        <v>43336</v>
      </c>
      <c r="FO37" s="600">
        <f>CR37</f>
        <v>43189</v>
      </c>
      <c r="FP37" s="598">
        <f t="shared" si="27"/>
        <v>32.93333333333333</v>
      </c>
      <c r="FQ37" s="600">
        <v>43367</v>
      </c>
      <c r="FR37" s="600">
        <f>CW37</f>
        <v>43205</v>
      </c>
      <c r="FS37" s="627">
        <v>119075</v>
      </c>
      <c r="FT37" s="627">
        <v>119075</v>
      </c>
      <c r="FU37" s="627"/>
      <c r="FV37" s="627"/>
      <c r="FW37" s="628">
        <f t="shared" si="96"/>
        <v>-24.366666666666667</v>
      </c>
      <c r="FX37" s="628">
        <f t="shared" si="29"/>
        <v>-5.4</v>
      </c>
      <c r="FY37" s="748" t="s">
        <v>808</v>
      </c>
      <c r="FZ37" s="748"/>
      <c r="GA37" s="748" t="s">
        <v>809</v>
      </c>
      <c r="GB37" s="749" t="s">
        <v>810</v>
      </c>
      <c r="GC37" s="114"/>
      <c r="GD37" s="118"/>
      <c r="GE37" s="10">
        <f t="shared" si="74"/>
        <v>8980518.6850000005</v>
      </c>
      <c r="GF37" s="11">
        <f t="shared" ref="GF37:GF62" si="105">GP37+GT37+HA37+HT37+HB37+HE37</f>
        <v>8889324.7249999996</v>
      </c>
      <c r="GG37" s="12">
        <f t="shared" si="30"/>
        <v>-91193.960000000894</v>
      </c>
      <c r="GH37" s="23">
        <f t="shared" si="31"/>
        <v>1994.0699895466005</v>
      </c>
      <c r="GI37" s="23">
        <f t="shared" si="32"/>
        <v>177786.4945</v>
      </c>
      <c r="GJ37" s="10">
        <v>8046979</v>
      </c>
      <c r="GK37" s="11">
        <v>7435240.3190134894</v>
      </c>
      <c r="GL37" s="12">
        <f t="shared" si="97"/>
        <v>-611738.68098651059</v>
      </c>
      <c r="GM37" s="137">
        <f t="shared" si="101"/>
        <v>0.85398841875615839</v>
      </c>
      <c r="GN37" s="138"/>
      <c r="GO37" s="10">
        <v>2663620</v>
      </c>
      <c r="GP37" s="11">
        <v>2572426.04</v>
      </c>
      <c r="GQ37" s="23">
        <f t="shared" si="35"/>
        <v>51448.520799999998</v>
      </c>
      <c r="GR37" s="38">
        <f t="shared" si="36"/>
        <v>-91193.959999999963</v>
      </c>
      <c r="GS37" s="10">
        <f>GT37</f>
        <v>5272823.875</v>
      </c>
      <c r="GT37" s="11">
        <f>GU37+GV37</f>
        <v>5272823.875</v>
      </c>
      <c r="GU37" s="13">
        <v>1076863.6000000001</v>
      </c>
      <c r="GV37" s="13">
        <v>4195960.2750000004</v>
      </c>
      <c r="GW37" s="38">
        <f t="shared" si="38"/>
        <v>0</v>
      </c>
      <c r="GX37" s="23">
        <f t="shared" si="39"/>
        <v>105456.47749999999</v>
      </c>
      <c r="GY37" s="11"/>
      <c r="GZ37" s="10">
        <v>925000</v>
      </c>
      <c r="HA37" s="11">
        <f>GZ37</f>
        <v>925000</v>
      </c>
      <c r="HB37" s="70">
        <v>0</v>
      </c>
      <c r="HC37" s="41">
        <f t="shared" si="40"/>
        <v>0.10405739790319113</v>
      </c>
      <c r="HD37" s="329"/>
      <c r="HE37" s="11">
        <v>0</v>
      </c>
      <c r="HF37" s="24">
        <f t="shared" si="62"/>
        <v>0</v>
      </c>
      <c r="HG37" s="49">
        <f t="shared" si="41"/>
        <v>18500</v>
      </c>
      <c r="HH37" s="84">
        <f t="shared" si="102"/>
        <v>69948.520799999998</v>
      </c>
      <c r="HI37" s="24">
        <f t="shared" si="103"/>
        <v>0</v>
      </c>
      <c r="HJ37" s="50">
        <v>4.9400000000000004</v>
      </c>
      <c r="HK37" s="50">
        <v>4.93</v>
      </c>
      <c r="HL37" s="40"/>
      <c r="HM37" s="40">
        <v>0</v>
      </c>
      <c r="HN37" s="23">
        <f>(GP37+HA37+HM37)/AD37</f>
        <v>69948.520799999998</v>
      </c>
      <c r="HO37" s="40"/>
      <c r="HP37" s="23">
        <f>(GP37+HA37+HM37+HO37)/AD37</f>
        <v>69948.520799999998</v>
      </c>
      <c r="HQ37" s="53">
        <f t="shared" si="45"/>
        <v>0.39344113846622925</v>
      </c>
      <c r="HR37" s="40"/>
      <c r="HS37" s="40"/>
      <c r="HT37" s="11">
        <v>119074.81</v>
      </c>
      <c r="HU37" s="42">
        <f t="shared" si="98"/>
        <v>8889324.7249999996</v>
      </c>
      <c r="HV37" s="296"/>
      <c r="HW37" s="296">
        <f t="shared" si="99"/>
        <v>0</v>
      </c>
      <c r="HX37" s="119"/>
      <c r="HY37" s="245"/>
      <c r="HZ37" s="128"/>
      <c r="IA37" s="119"/>
      <c r="IB37" s="119"/>
      <c r="IC37" s="245"/>
      <c r="ID37" s="119"/>
      <c r="IE37" s="245"/>
      <c r="IF37" s="135"/>
      <c r="IG37" s="245"/>
      <c r="IH37" s="128"/>
      <c r="II37" s="350"/>
      <c r="IJ37" s="341"/>
      <c r="IK37" s="341"/>
      <c r="IL37" s="128"/>
      <c r="IM37" s="245"/>
      <c r="IN37" s="128"/>
      <c r="IO37" s="245"/>
      <c r="IP37" s="120"/>
      <c r="IQ37" s="120"/>
      <c r="IR37" s="326"/>
      <c r="IS37" s="326"/>
      <c r="IT37" s="289"/>
      <c r="IU37" s="289"/>
      <c r="IV37" s="289"/>
      <c r="IW37" s="289"/>
      <c r="IX37" s="289"/>
      <c r="IY37" s="289"/>
      <c r="IZ37" s="245"/>
      <c r="JA37" s="128"/>
      <c r="JB37" s="120"/>
      <c r="JC37" s="128"/>
      <c r="JD37" s="128"/>
      <c r="JE37" s="120"/>
    </row>
    <row r="38" spans="1:265" ht="24.95" customHeight="1">
      <c r="A38" s="86" t="s">
        <v>27</v>
      </c>
      <c r="B38" s="7" t="s">
        <v>28</v>
      </c>
      <c r="C38" s="7" t="s">
        <v>117</v>
      </c>
      <c r="D38" s="7">
        <v>2014</v>
      </c>
      <c r="E38" s="7" t="s">
        <v>29</v>
      </c>
      <c r="F38" s="7" t="s">
        <v>30</v>
      </c>
      <c r="G38" s="7" t="s">
        <v>519</v>
      </c>
      <c r="H38" s="7" t="s">
        <v>182</v>
      </c>
      <c r="I38" s="56" t="s">
        <v>125</v>
      </c>
      <c r="J38" s="56"/>
      <c r="K38" s="275" t="s">
        <v>721</v>
      </c>
      <c r="L38" s="173" t="s">
        <v>67</v>
      </c>
      <c r="M38" s="109" t="s">
        <v>68</v>
      </c>
      <c r="N38" s="110"/>
      <c r="O38" s="225">
        <f>5311+1709</f>
        <v>7020</v>
      </c>
      <c r="P38" s="225">
        <v>577000</v>
      </c>
      <c r="Q38" s="225">
        <v>173455</v>
      </c>
      <c r="R38" s="219">
        <f>P38/21</f>
        <v>27476.190476190477</v>
      </c>
      <c r="S38" s="225">
        <f t="shared" si="66"/>
        <v>82.193732193732188</v>
      </c>
      <c r="T38" s="225">
        <f t="shared" si="67"/>
        <v>24.708689458689459</v>
      </c>
      <c r="U38" s="225">
        <f t="shared" si="69"/>
        <v>113.95918742773048</v>
      </c>
      <c r="V38" s="225">
        <f t="shared" si="70"/>
        <v>8259.7619047619046</v>
      </c>
      <c r="W38" s="219">
        <f t="shared" si="71"/>
        <v>334.28571428571428</v>
      </c>
      <c r="X38" s="229"/>
      <c r="Y38" s="230">
        <f t="shared" si="72"/>
        <v>0.21682051282051282</v>
      </c>
      <c r="Z38" s="229" t="s">
        <v>217</v>
      </c>
      <c r="AA38" s="222">
        <v>40</v>
      </c>
      <c r="AB38" s="223"/>
      <c r="AC38" s="7" t="s">
        <v>16</v>
      </c>
      <c r="AD38" s="345">
        <f t="shared" si="75"/>
        <v>21</v>
      </c>
      <c r="AE38" s="8"/>
      <c r="AF38" s="7">
        <f>21*1</f>
        <v>21</v>
      </c>
      <c r="AG38" s="56"/>
      <c r="AH38" s="56"/>
      <c r="AI38" s="9">
        <v>1508.31</v>
      </c>
      <c r="AJ38" s="85">
        <v>1522.08</v>
      </c>
      <c r="AK38" s="9">
        <f t="shared" si="1"/>
        <v>72.47999999999999</v>
      </c>
      <c r="AL38" s="62">
        <v>0</v>
      </c>
      <c r="AM38" s="62">
        <v>7</v>
      </c>
      <c r="AN38" s="62">
        <v>8</v>
      </c>
      <c r="AO38" s="62">
        <v>5</v>
      </c>
      <c r="AP38" s="62">
        <v>1</v>
      </c>
      <c r="AQ38" s="9"/>
      <c r="AR38" s="79"/>
      <c r="AS38" s="81">
        <f t="shared" si="58"/>
        <v>0</v>
      </c>
      <c r="AT38" s="60">
        <v>1</v>
      </c>
      <c r="AU38" s="57" t="s">
        <v>620</v>
      </c>
      <c r="AV38" s="7" t="s">
        <v>126</v>
      </c>
      <c r="AW38" s="196">
        <v>41438</v>
      </c>
      <c r="AX38" s="196">
        <v>40963</v>
      </c>
      <c r="AY38" s="113" t="s">
        <v>11</v>
      </c>
      <c r="AZ38" s="113" t="s">
        <v>260</v>
      </c>
      <c r="BA38" s="451" t="s">
        <v>177</v>
      </c>
      <c r="BB38" s="216">
        <v>41848</v>
      </c>
      <c r="BC38" s="102">
        <v>43010</v>
      </c>
      <c r="BD38" s="204" t="s">
        <v>422</v>
      </c>
      <c r="BE38" s="217" t="s">
        <v>436</v>
      </c>
      <c r="BF38" s="102">
        <v>42510</v>
      </c>
      <c r="BG38" s="471">
        <v>42527</v>
      </c>
      <c r="BH38" s="474">
        <v>42594</v>
      </c>
      <c r="BI38" s="176">
        <v>42686</v>
      </c>
      <c r="BJ38" s="176">
        <v>42611</v>
      </c>
      <c r="BK38" s="322">
        <v>42885</v>
      </c>
      <c r="BL38" s="322">
        <f t="shared" si="2"/>
        <v>43615</v>
      </c>
      <c r="BM38" s="322">
        <f t="shared" si="3"/>
        <v>43981</v>
      </c>
      <c r="BN38" s="322" t="str">
        <f t="shared" si="61"/>
        <v>non</v>
      </c>
      <c r="BO38" s="172">
        <v>42600</v>
      </c>
      <c r="BP38" s="37" t="s">
        <v>652</v>
      </c>
      <c r="BQ38" s="393">
        <v>42747</v>
      </c>
      <c r="BR38" s="104"/>
      <c r="BS38" s="416">
        <v>42915</v>
      </c>
      <c r="BT38" s="416">
        <v>42746</v>
      </c>
      <c r="BU38" s="167" t="s">
        <v>68</v>
      </c>
      <c r="BV38" s="305"/>
      <c r="BW38" s="268"/>
      <c r="BX38" s="168"/>
      <c r="BY38" s="174">
        <f>DATE(YEAR(BV38),MONTH(BV38)+18,DAY(BV38))</f>
        <v>547</v>
      </c>
      <c r="BZ38" s="268">
        <f>DATE(YEAR(BV38),MONTH(BV38)+24,DAY(BV38))</f>
        <v>731</v>
      </c>
      <c r="CA38" s="174"/>
      <c r="CB38" s="268" t="s">
        <v>177</v>
      </c>
      <c r="CC38" s="682"/>
      <c r="CD38" s="81"/>
      <c r="CE38" s="382">
        <v>42933</v>
      </c>
      <c r="CF38" s="376">
        <v>2017</v>
      </c>
      <c r="CG38" s="496">
        <f t="shared" si="76"/>
        <v>36.166666666666664</v>
      </c>
      <c r="CH38" s="122">
        <v>15</v>
      </c>
      <c r="CI38" s="122">
        <f t="shared" si="100"/>
        <v>16</v>
      </c>
      <c r="CJ38" s="257">
        <f t="shared" si="77"/>
        <v>15</v>
      </c>
      <c r="CK38" s="257">
        <f t="shared" si="78"/>
        <v>17</v>
      </c>
      <c r="CL38" s="257">
        <f t="shared" si="79"/>
        <v>0</v>
      </c>
      <c r="CM38" s="257">
        <f t="shared" si="80"/>
        <v>1</v>
      </c>
      <c r="CN38" s="248">
        <f>100499.898263388/12</f>
        <v>8374.9915219489994</v>
      </c>
      <c r="CO38" s="247">
        <f t="shared" si="104"/>
        <v>0</v>
      </c>
      <c r="CP38" s="132"/>
      <c r="CQ38" s="524">
        <f t="shared" si="81"/>
        <v>43390</v>
      </c>
      <c r="CR38" s="446">
        <f>DATE(YEAR(CE38),MONTH(CE38)+CH38,DAY(CE38))</f>
        <v>43390</v>
      </c>
      <c r="CS38" s="742">
        <f t="shared" si="73"/>
        <v>731</v>
      </c>
      <c r="CT38" s="446"/>
      <c r="CU38" s="198"/>
      <c r="CV38" s="686">
        <v>43403</v>
      </c>
      <c r="CW38" s="446">
        <v>43475</v>
      </c>
      <c r="CX38" s="458"/>
      <c r="CY38" s="123"/>
      <c r="CZ38" s="127"/>
      <c r="DA38" s="127"/>
      <c r="DB38" s="127"/>
      <c r="DC38" s="127"/>
      <c r="DD38" s="127"/>
      <c r="DE38" s="56"/>
      <c r="DF38" s="56"/>
      <c r="DG38" s="56"/>
      <c r="DH38" s="56"/>
      <c r="DI38" s="56"/>
      <c r="DJ38" s="56"/>
      <c r="DK38" s="56"/>
      <c r="DL38" s="56"/>
      <c r="DM38" s="56"/>
      <c r="DN38" s="56"/>
      <c r="DO38" s="56"/>
      <c r="DP38" s="56"/>
      <c r="DQ38" s="56"/>
      <c r="DR38" s="56"/>
      <c r="DS38" s="128">
        <v>40798</v>
      </c>
      <c r="DT38" s="128">
        <v>40799</v>
      </c>
      <c r="DU38" s="128">
        <v>40801</v>
      </c>
      <c r="DV38" s="621">
        <f t="shared" si="82"/>
        <v>2</v>
      </c>
      <c r="DW38" s="128">
        <v>41676</v>
      </c>
      <c r="DX38" s="128">
        <v>41676</v>
      </c>
      <c r="DY38" s="621">
        <f t="shared" si="83"/>
        <v>0</v>
      </c>
      <c r="DZ38" s="128">
        <v>40918</v>
      </c>
      <c r="EA38" s="128">
        <v>40952</v>
      </c>
      <c r="EB38" s="621">
        <f t="shared" si="84"/>
        <v>34</v>
      </c>
      <c r="EC38" s="128">
        <v>40998</v>
      </c>
      <c r="ED38" s="128">
        <v>41753</v>
      </c>
      <c r="EE38" s="621">
        <f t="shared" si="85"/>
        <v>755</v>
      </c>
      <c r="EF38" s="128">
        <v>42164</v>
      </c>
      <c r="EG38" s="128">
        <v>41753</v>
      </c>
      <c r="EH38" s="621">
        <f t="shared" si="86"/>
        <v>-411</v>
      </c>
      <c r="EI38" s="128">
        <v>42244</v>
      </c>
      <c r="EJ38" s="128">
        <v>42353</v>
      </c>
      <c r="EK38" s="128">
        <v>42928</v>
      </c>
      <c r="EL38" s="621">
        <f t="shared" si="87"/>
        <v>575</v>
      </c>
      <c r="EM38" s="128">
        <v>42943</v>
      </c>
      <c r="EN38" s="128">
        <v>42933</v>
      </c>
      <c r="EO38" s="589">
        <f t="shared" si="88"/>
        <v>-10</v>
      </c>
      <c r="EP38" s="128">
        <v>42965</v>
      </c>
      <c r="EQ38" s="128">
        <v>43038</v>
      </c>
      <c r="ER38" s="589">
        <f t="shared" si="89"/>
        <v>73</v>
      </c>
      <c r="ES38" s="690">
        <v>43182</v>
      </c>
      <c r="ET38" s="662">
        <v>43182</v>
      </c>
      <c r="EU38" s="597">
        <f t="shared" si="90"/>
        <v>0</v>
      </c>
      <c r="EV38" s="609">
        <v>43196</v>
      </c>
      <c r="EW38" s="609">
        <f ca="1">IF(EV38&lt;TODAY(),TODAY(),EV38)</f>
        <v>43196</v>
      </c>
      <c r="EX38" s="596">
        <f t="shared" ca="1" si="91"/>
        <v>0</v>
      </c>
      <c r="EY38" s="600">
        <v>43301</v>
      </c>
      <c r="EZ38" s="600">
        <v>43301</v>
      </c>
      <c r="FA38" s="596">
        <f t="shared" si="92"/>
        <v>0</v>
      </c>
      <c r="FB38" s="600">
        <v>43299</v>
      </c>
      <c r="FC38" s="600">
        <v>43299</v>
      </c>
      <c r="FD38" s="596">
        <f t="shared" si="93"/>
        <v>0</v>
      </c>
      <c r="FE38" s="600">
        <v>43329</v>
      </c>
      <c r="FF38" s="600">
        <v>43329</v>
      </c>
      <c r="FG38" s="596">
        <f t="shared" si="94"/>
        <v>0</v>
      </c>
      <c r="FH38" s="600">
        <v>43381</v>
      </c>
      <c r="FI38" s="600">
        <v>43381</v>
      </c>
      <c r="FJ38" s="596">
        <f t="shared" si="95"/>
        <v>0</v>
      </c>
      <c r="FK38" s="600">
        <v>43322</v>
      </c>
      <c r="FL38" s="600">
        <v>43322</v>
      </c>
      <c r="FM38" s="600">
        <v>43322</v>
      </c>
      <c r="FN38" s="600">
        <v>43390</v>
      </c>
      <c r="FO38" s="600">
        <f>CR38</f>
        <v>43390</v>
      </c>
      <c r="FP38" s="598">
        <f t="shared" si="27"/>
        <v>15.233333333333333</v>
      </c>
      <c r="FQ38" s="600">
        <v>43420</v>
      </c>
      <c r="FR38" s="600">
        <f>CW38</f>
        <v>43475</v>
      </c>
      <c r="FS38" s="627">
        <v>368628</v>
      </c>
      <c r="FT38" s="627">
        <v>368628</v>
      </c>
      <c r="FU38" s="671" t="s">
        <v>661</v>
      </c>
      <c r="FV38" s="671"/>
      <c r="FW38" s="628">
        <f t="shared" si="96"/>
        <v>31.5</v>
      </c>
      <c r="FX38" s="628">
        <f t="shared" si="29"/>
        <v>1.8333333333333333</v>
      </c>
      <c r="FY38" s="625" t="s">
        <v>30</v>
      </c>
      <c r="FZ38" s="625"/>
      <c r="GA38" s="625" t="s">
        <v>806</v>
      </c>
      <c r="GB38" s="626" t="s">
        <v>807</v>
      </c>
      <c r="GC38" s="114"/>
      <c r="GD38" s="118"/>
      <c r="GE38" s="10">
        <f t="shared" si="74"/>
        <v>3711166.59</v>
      </c>
      <c r="GF38" s="11">
        <f t="shared" si="105"/>
        <v>4005609.36</v>
      </c>
      <c r="GG38" s="12">
        <f t="shared" si="30"/>
        <v>294442.77</v>
      </c>
      <c r="GH38" s="23">
        <f t="shared" si="31"/>
        <v>2655.6936969190683</v>
      </c>
      <c r="GI38" s="23">
        <f t="shared" si="32"/>
        <v>190743.30285714284</v>
      </c>
      <c r="GJ38" s="10">
        <v>2877228</v>
      </c>
      <c r="GK38" s="11">
        <v>2855004</v>
      </c>
      <c r="GL38" s="12">
        <f t="shared" si="97"/>
        <v>-22224</v>
      </c>
      <c r="GM38" s="137">
        <f t="shared" si="101"/>
        <v>0.72771926117128904</v>
      </c>
      <c r="GN38" s="138"/>
      <c r="GO38" s="10">
        <v>840305.59</v>
      </c>
      <c r="GP38" s="11">
        <v>1296418.3899999999</v>
      </c>
      <c r="GQ38" s="23">
        <f t="shared" si="35"/>
        <v>61734.209047619042</v>
      </c>
      <c r="GR38" s="38">
        <f t="shared" si="36"/>
        <v>456112.79999999993</v>
      </c>
      <c r="GS38" s="10">
        <f>GU38+GV38</f>
        <v>1784577</v>
      </c>
      <c r="GT38" s="11">
        <f>GV38+GU38</f>
        <v>1784577</v>
      </c>
      <c r="GU38" s="13">
        <v>599672</v>
      </c>
      <c r="GV38" s="13">
        <v>1184905</v>
      </c>
      <c r="GW38" s="38">
        <f t="shared" si="38"/>
        <v>0</v>
      </c>
      <c r="GX38" s="23">
        <f t="shared" si="39"/>
        <v>84979.857142857145</v>
      </c>
      <c r="GY38" s="11"/>
      <c r="GZ38" s="10">
        <v>717280</v>
      </c>
      <c r="HA38" s="478">
        <v>442750</v>
      </c>
      <c r="HB38" s="75">
        <v>0</v>
      </c>
      <c r="HC38" s="41">
        <f t="shared" si="40"/>
        <v>0.11053249585975604</v>
      </c>
      <c r="HD38" s="329"/>
      <c r="HE38" s="11">
        <f>20396+92463.97</f>
        <v>112859.97</v>
      </c>
      <c r="HF38" s="24">
        <f t="shared" si="62"/>
        <v>-274530</v>
      </c>
      <c r="HG38" s="49">
        <f t="shared" si="41"/>
        <v>21083.333333333332</v>
      </c>
      <c r="HH38" s="84">
        <f t="shared" si="102"/>
        <v>82817.542380952378</v>
      </c>
      <c r="HI38" s="24">
        <f t="shared" si="103"/>
        <v>-13072.857142857143</v>
      </c>
      <c r="HJ38" s="50">
        <v>5.15</v>
      </c>
      <c r="HK38" s="50">
        <v>5</v>
      </c>
      <c r="HL38" s="40">
        <v>1512119.8533942373</v>
      </c>
      <c r="HM38" s="40">
        <f>15000*AD38</f>
        <v>315000</v>
      </c>
      <c r="HN38" s="23"/>
      <c r="HO38" s="40">
        <v>292222.2</v>
      </c>
      <c r="HP38" s="23"/>
      <c r="HQ38" s="53">
        <f t="shared" si="45"/>
        <v>0.43934707196754536</v>
      </c>
      <c r="HR38" s="40">
        <v>177098.21865</v>
      </c>
      <c r="HS38" s="40"/>
      <c r="HT38" s="483">
        <v>369004</v>
      </c>
      <c r="HU38" s="42">
        <f t="shared" si="98"/>
        <v>5517729.2133942377</v>
      </c>
      <c r="HV38" s="296">
        <v>197264</v>
      </c>
      <c r="HW38" s="296">
        <f t="shared" si="99"/>
        <v>132956</v>
      </c>
      <c r="HX38" s="119">
        <v>40814</v>
      </c>
      <c r="HY38" s="245">
        <v>24368</v>
      </c>
      <c r="HZ38" s="128"/>
      <c r="IA38" s="119"/>
      <c r="IB38" s="119"/>
      <c r="IC38" s="245"/>
      <c r="ID38" s="119">
        <v>41676</v>
      </c>
      <c r="IE38" s="245">
        <v>17298</v>
      </c>
      <c r="IF38" s="135">
        <v>40998</v>
      </c>
      <c r="IG38" s="245">
        <v>11733</v>
      </c>
      <c r="IH38" s="128">
        <v>41992</v>
      </c>
      <c r="II38" s="350">
        <v>26183</v>
      </c>
      <c r="IJ38" s="341"/>
      <c r="IK38" s="341"/>
      <c r="IL38" s="251"/>
      <c r="IM38" s="356"/>
      <c r="IN38" s="251">
        <v>42933</v>
      </c>
      <c r="IO38" s="356">
        <v>49639</v>
      </c>
      <c r="IP38" s="344">
        <v>43090</v>
      </c>
      <c r="IQ38" s="352">
        <v>3735</v>
      </c>
      <c r="IR38" s="327"/>
      <c r="IS38" s="327"/>
      <c r="IT38" s="289"/>
      <c r="IU38" s="289"/>
      <c r="IV38" s="289"/>
      <c r="IW38" s="289"/>
      <c r="IX38" s="289"/>
      <c r="IY38" s="289"/>
      <c r="IZ38" s="245">
        <v>17298</v>
      </c>
      <c r="JA38" s="128"/>
      <c r="JB38" s="120"/>
      <c r="JC38" s="128"/>
      <c r="JD38" s="128"/>
      <c r="JE38" s="120"/>
    </row>
    <row r="39" spans="1:265" ht="24.95" customHeight="1">
      <c r="A39" s="86" t="s">
        <v>321</v>
      </c>
      <c r="B39" s="7" t="s">
        <v>40</v>
      </c>
      <c r="C39" s="7" t="s">
        <v>119</v>
      </c>
      <c r="D39" s="7">
        <v>2014</v>
      </c>
      <c r="E39" s="7" t="s">
        <v>165</v>
      </c>
      <c r="F39" s="7" t="s">
        <v>30</v>
      </c>
      <c r="G39" s="7" t="s">
        <v>519</v>
      </c>
      <c r="H39" s="20" t="s">
        <v>182</v>
      </c>
      <c r="I39" s="56"/>
      <c r="J39" s="56"/>
      <c r="K39" s="275" t="s">
        <v>421</v>
      </c>
      <c r="L39" s="173" t="s">
        <v>64</v>
      </c>
      <c r="M39" s="109" t="s">
        <v>143</v>
      </c>
      <c r="N39" s="110"/>
      <c r="O39" s="225">
        <v>2529</v>
      </c>
      <c r="P39" s="225">
        <f>Q39</f>
        <v>217810</v>
      </c>
      <c r="Q39" s="225">
        <v>217810</v>
      </c>
      <c r="R39" s="219">
        <f t="shared" ref="R39:R47" si="106">P39/AD39</f>
        <v>7260.333333333333</v>
      </c>
      <c r="S39" s="225">
        <f t="shared" si="66"/>
        <v>86.124950573349153</v>
      </c>
      <c r="T39" s="225">
        <f t="shared" si="67"/>
        <v>86.124950573349153</v>
      </c>
      <c r="U39" s="225">
        <f t="shared" si="69"/>
        <v>84.317900278724068</v>
      </c>
      <c r="V39" s="225">
        <f t="shared" si="70"/>
        <v>7260.333333333333</v>
      </c>
      <c r="W39" s="219">
        <f t="shared" si="71"/>
        <v>84.3</v>
      </c>
      <c r="X39" s="229">
        <f>523.3+554</f>
        <v>1077.3</v>
      </c>
      <c r="Y39" s="230">
        <f t="shared" si="72"/>
        <v>1.0214313958086199</v>
      </c>
      <c r="Z39" s="229"/>
      <c r="AA39" s="222">
        <v>110</v>
      </c>
      <c r="AB39" s="223"/>
      <c r="AC39" s="7" t="s">
        <v>16</v>
      </c>
      <c r="AD39" s="345">
        <f t="shared" si="75"/>
        <v>30</v>
      </c>
      <c r="AE39" s="8"/>
      <c r="AF39" s="7">
        <v>30</v>
      </c>
      <c r="AG39" s="56"/>
      <c r="AH39" s="56"/>
      <c r="AI39" s="9">
        <v>2546.5500000000002</v>
      </c>
      <c r="AJ39" s="85">
        <v>2583.1999999999998</v>
      </c>
      <c r="AK39" s="9">
        <f t="shared" si="1"/>
        <v>86.106666666666655</v>
      </c>
      <c r="AL39" s="81">
        <f>2/AD39</f>
        <v>6.6666666666666666E-2</v>
      </c>
      <c r="AM39" s="81">
        <f>12/AD39</f>
        <v>0.4</v>
      </c>
      <c r="AN39" s="81">
        <f>12/AD39</f>
        <v>0.4</v>
      </c>
      <c r="AO39" s="81">
        <f>3/AD39</f>
        <v>0.1</v>
      </c>
      <c r="AP39" s="81">
        <f>1/AD39</f>
        <v>3.3333333333333333E-2</v>
      </c>
      <c r="AQ39" s="9"/>
      <c r="AR39" s="79">
        <v>0</v>
      </c>
      <c r="AS39" s="81">
        <f t="shared" si="58"/>
        <v>0</v>
      </c>
      <c r="AT39" s="60">
        <v>4</v>
      </c>
      <c r="AU39" s="59" t="s">
        <v>621</v>
      </c>
      <c r="AV39" s="7"/>
      <c r="AW39" s="196">
        <v>41667</v>
      </c>
      <c r="AX39" s="56"/>
      <c r="AY39" s="115" t="s">
        <v>11</v>
      </c>
      <c r="AZ39" s="113" t="s">
        <v>249</v>
      </c>
      <c r="BA39" s="36"/>
      <c r="BB39" s="216">
        <v>41890</v>
      </c>
      <c r="BC39" s="102"/>
      <c r="BD39" s="102" t="s">
        <v>133</v>
      </c>
      <c r="BE39" s="216">
        <v>42256</v>
      </c>
      <c r="BF39" s="102"/>
      <c r="BG39" s="171" t="s">
        <v>133</v>
      </c>
      <c r="BH39" s="214">
        <v>42262</v>
      </c>
      <c r="BI39" s="172">
        <v>42353</v>
      </c>
      <c r="BJ39" s="172">
        <v>42269</v>
      </c>
      <c r="BK39" s="323">
        <f>BH39</f>
        <v>42262</v>
      </c>
      <c r="BL39" s="322">
        <f t="shared" si="2"/>
        <v>42993</v>
      </c>
      <c r="BM39" s="322">
        <f t="shared" si="3"/>
        <v>43358</v>
      </c>
      <c r="BN39" s="322" t="str">
        <f t="shared" si="61"/>
        <v>oui</v>
      </c>
      <c r="BO39" s="172" t="s">
        <v>133</v>
      </c>
      <c r="BP39" s="37" t="s">
        <v>435</v>
      </c>
      <c r="BQ39" s="200" t="s">
        <v>434</v>
      </c>
      <c r="BR39" s="104" t="s">
        <v>368</v>
      </c>
      <c r="BS39" s="104">
        <v>42410</v>
      </c>
      <c r="BT39" s="104"/>
      <c r="BU39" s="167" t="s">
        <v>68</v>
      </c>
      <c r="BV39" s="333">
        <v>42725</v>
      </c>
      <c r="BW39" s="268" t="s">
        <v>612</v>
      </c>
      <c r="BX39" s="168">
        <v>4558993.83</v>
      </c>
      <c r="BY39" s="305">
        <f>DATE(YEAR(BV39),MONTH(BV39)+6,DAY(BV39))</f>
        <v>42907</v>
      </c>
      <c r="BZ39" s="276">
        <v>42908</v>
      </c>
      <c r="CA39" s="373">
        <v>42907</v>
      </c>
      <c r="CB39" s="276">
        <f>DATE(YEAR(BV39),MONTH(BV39)+24,DAY(BV39))</f>
        <v>43455</v>
      </c>
      <c r="CC39" s="681">
        <f>(CW39-CB39)/30</f>
        <v>-5.166666666666667</v>
      </c>
      <c r="CD39" s="81"/>
      <c r="CE39" s="380">
        <v>42772</v>
      </c>
      <c r="CF39" s="376">
        <v>2017</v>
      </c>
      <c r="CG39" s="496">
        <f t="shared" si="76"/>
        <v>29.4</v>
      </c>
      <c r="CH39" s="256">
        <v>16</v>
      </c>
      <c r="CI39" s="256">
        <f t="shared" si="100"/>
        <v>17</v>
      </c>
      <c r="CJ39" s="257">
        <f t="shared" si="77"/>
        <v>16</v>
      </c>
      <c r="CK39" s="257">
        <f t="shared" si="78"/>
        <v>17</v>
      </c>
      <c r="CL39" s="257">
        <f t="shared" si="79"/>
        <v>0</v>
      </c>
      <c r="CM39" s="257">
        <f t="shared" si="80"/>
        <v>0</v>
      </c>
      <c r="CN39" s="248">
        <f>154560.988069324/12</f>
        <v>12880.082339110333</v>
      </c>
      <c r="CO39" s="247">
        <f t="shared" si="104"/>
        <v>0</v>
      </c>
      <c r="CP39" s="250">
        <v>42702</v>
      </c>
      <c r="CQ39" s="524">
        <f t="shared" si="81"/>
        <v>43257</v>
      </c>
      <c r="CR39" s="446">
        <v>43270</v>
      </c>
      <c r="CS39" s="524">
        <f t="shared" si="73"/>
        <v>43637</v>
      </c>
      <c r="CT39" s="198"/>
      <c r="CU39" s="123"/>
      <c r="CV39" s="524">
        <f>DATE(YEAR(CR39),MONTH(CR39)+1,DAY(CR39))</f>
        <v>43300</v>
      </c>
      <c r="CW39" s="446">
        <f>CV39</f>
        <v>43300</v>
      </c>
      <c r="CX39" s="647"/>
      <c r="CY39" s="123"/>
      <c r="CZ39" s="127"/>
      <c r="DA39" s="127"/>
      <c r="DB39" s="127"/>
      <c r="DC39" s="127"/>
      <c r="DD39" s="127"/>
      <c r="DE39" s="56"/>
      <c r="DF39" s="56"/>
      <c r="DG39" s="56"/>
      <c r="DH39" s="56"/>
      <c r="DI39" s="56"/>
      <c r="DJ39" s="56"/>
      <c r="DK39" s="56"/>
      <c r="DL39" s="56"/>
      <c r="DM39" s="56"/>
      <c r="DN39" s="56"/>
      <c r="DO39" s="56"/>
      <c r="DP39" s="56"/>
      <c r="DQ39" s="56"/>
      <c r="DR39" s="56"/>
      <c r="DS39" s="128">
        <v>41543</v>
      </c>
      <c r="DT39" s="128">
        <v>41544</v>
      </c>
      <c r="DU39" s="128">
        <v>41554</v>
      </c>
      <c r="DV39" s="589">
        <f t="shared" si="82"/>
        <v>10</v>
      </c>
      <c r="DW39" s="128">
        <v>41676</v>
      </c>
      <c r="DX39" s="128">
        <v>41625</v>
      </c>
      <c r="DY39" s="589">
        <f t="shared" si="83"/>
        <v>-51</v>
      </c>
      <c r="DZ39" s="128">
        <v>41708</v>
      </c>
      <c r="EA39" s="128">
        <v>41708</v>
      </c>
      <c r="EB39" s="589">
        <f t="shared" si="84"/>
        <v>0</v>
      </c>
      <c r="EC39" s="128">
        <v>41835</v>
      </c>
      <c r="ED39" s="128">
        <v>41835</v>
      </c>
      <c r="EE39" s="589">
        <f t="shared" si="85"/>
        <v>0</v>
      </c>
      <c r="EF39" s="128">
        <v>41892</v>
      </c>
      <c r="EG39" s="128">
        <v>41892</v>
      </c>
      <c r="EH39" s="589">
        <f t="shared" si="86"/>
        <v>0</v>
      </c>
      <c r="EI39" s="128">
        <v>42055</v>
      </c>
      <c r="EJ39" s="128">
        <v>42368</v>
      </c>
      <c r="EK39" s="128">
        <v>42772</v>
      </c>
      <c r="EL39" s="589">
        <f t="shared" si="87"/>
        <v>404</v>
      </c>
      <c r="EM39" s="128">
        <v>42787</v>
      </c>
      <c r="EN39" s="128">
        <v>42773</v>
      </c>
      <c r="EO39" s="589">
        <f t="shared" si="88"/>
        <v>-14</v>
      </c>
      <c r="EP39" s="128">
        <v>42839</v>
      </c>
      <c r="EQ39" s="128">
        <v>42839</v>
      </c>
      <c r="ER39" s="589">
        <f t="shared" si="89"/>
        <v>0</v>
      </c>
      <c r="ES39" s="592">
        <v>42908</v>
      </c>
      <c r="ET39" s="591">
        <v>42907</v>
      </c>
      <c r="EU39" s="593">
        <f t="shared" si="90"/>
        <v>-1</v>
      </c>
      <c r="EV39" s="592">
        <v>43144</v>
      </c>
      <c r="EW39" s="592">
        <v>43088</v>
      </c>
      <c r="EX39" s="589">
        <f t="shared" si="91"/>
        <v>-56</v>
      </c>
      <c r="EY39" s="600">
        <v>43189</v>
      </c>
      <c r="EZ39" s="600">
        <v>43189</v>
      </c>
      <c r="FA39" s="596">
        <f t="shared" si="92"/>
        <v>0</v>
      </c>
      <c r="FB39" s="600">
        <v>43147</v>
      </c>
      <c r="FC39" s="600">
        <v>43149</v>
      </c>
      <c r="FD39" s="596">
        <f t="shared" si="93"/>
        <v>2</v>
      </c>
      <c r="FE39" s="600">
        <v>43168</v>
      </c>
      <c r="FF39" s="600">
        <v>43168</v>
      </c>
      <c r="FG39" s="596">
        <f t="shared" si="94"/>
        <v>0</v>
      </c>
      <c r="FH39" s="600">
        <v>43238</v>
      </c>
      <c r="FI39" s="600">
        <v>43238</v>
      </c>
      <c r="FJ39" s="596">
        <f t="shared" si="95"/>
        <v>0</v>
      </c>
      <c r="FK39" s="600">
        <v>43224</v>
      </c>
      <c r="FL39" s="600">
        <v>43224</v>
      </c>
      <c r="FM39" s="600">
        <v>43160</v>
      </c>
      <c r="FN39" s="600">
        <v>43270</v>
      </c>
      <c r="FO39" s="600">
        <f>CR39</f>
        <v>43270</v>
      </c>
      <c r="FP39" s="598">
        <f t="shared" si="27"/>
        <v>16.566666666666666</v>
      </c>
      <c r="FQ39" s="600">
        <v>43287</v>
      </c>
      <c r="FR39" s="600">
        <f>CW39</f>
        <v>43300</v>
      </c>
      <c r="FS39" s="627">
        <v>0</v>
      </c>
      <c r="FT39" s="627">
        <v>0</v>
      </c>
      <c r="FU39" s="627">
        <v>99194.95</v>
      </c>
      <c r="FV39" s="627"/>
      <c r="FW39" s="628">
        <f t="shared" si="96"/>
        <v>11.633333333333333</v>
      </c>
      <c r="FX39" s="628">
        <f t="shared" si="29"/>
        <v>0.43333333333333335</v>
      </c>
      <c r="FY39" s="625" t="s">
        <v>803</v>
      </c>
      <c r="FZ39" s="625"/>
      <c r="GA39" s="625" t="s">
        <v>804</v>
      </c>
      <c r="GB39" s="626" t="s">
        <v>805</v>
      </c>
      <c r="GC39" s="114"/>
      <c r="GD39" s="118"/>
      <c r="GE39" s="10">
        <f t="shared" si="74"/>
        <v>4943575.0199999996</v>
      </c>
      <c r="GF39" s="11">
        <f t="shared" si="105"/>
        <v>4768708</v>
      </c>
      <c r="GG39" s="12">
        <f t="shared" si="30"/>
        <v>-174867.01999999955</v>
      </c>
      <c r="GH39" s="23">
        <f t="shared" si="31"/>
        <v>1872.6151067130038</v>
      </c>
      <c r="GI39" s="23">
        <f t="shared" si="32"/>
        <v>158956.93333333332</v>
      </c>
      <c r="GJ39" s="10">
        <v>4386257</v>
      </c>
      <c r="GK39" s="11">
        <v>3720168</v>
      </c>
      <c r="GL39" s="12">
        <f t="shared" si="97"/>
        <v>-666089</v>
      </c>
      <c r="GM39" s="137">
        <f t="shared" si="101"/>
        <v>0.7965032725845238</v>
      </c>
      <c r="GN39" s="138"/>
      <c r="GO39" s="10">
        <v>1393063.02</v>
      </c>
      <c r="GP39" s="11">
        <v>1462622</v>
      </c>
      <c r="GQ39" s="23">
        <f t="shared" si="35"/>
        <v>48754.066666666666</v>
      </c>
      <c r="GR39" s="38">
        <f t="shared" si="36"/>
        <v>69558.979999999981</v>
      </c>
      <c r="GS39" s="10">
        <v>2950512</v>
      </c>
      <c r="GT39" s="11">
        <f>+GU39+GV39</f>
        <v>2706086</v>
      </c>
      <c r="GU39" s="13">
        <v>461009</v>
      </c>
      <c r="GV39" s="13">
        <v>2245077</v>
      </c>
      <c r="GW39" s="38">
        <f t="shared" si="38"/>
        <v>-244426</v>
      </c>
      <c r="GX39" s="23">
        <f t="shared" si="39"/>
        <v>90202.866666666669</v>
      </c>
      <c r="GY39" s="11"/>
      <c r="GZ39" s="10">
        <v>600000</v>
      </c>
      <c r="HA39" s="685">
        <v>600000</v>
      </c>
      <c r="HB39" s="74">
        <v>0</v>
      </c>
      <c r="HC39" s="41">
        <f t="shared" si="40"/>
        <v>0.12582024313503784</v>
      </c>
      <c r="HD39" s="329"/>
      <c r="HE39" s="11">
        <v>0</v>
      </c>
      <c r="HF39" s="24">
        <f t="shared" si="62"/>
        <v>0</v>
      </c>
      <c r="HG39" s="49">
        <f t="shared" si="41"/>
        <v>20000</v>
      </c>
      <c r="HH39" s="84">
        <f t="shared" si="102"/>
        <v>68754.066666666666</v>
      </c>
      <c r="HI39" s="21">
        <f t="shared" si="103"/>
        <v>0</v>
      </c>
      <c r="HJ39" s="51">
        <v>6.29</v>
      </c>
      <c r="HK39" s="51">
        <v>6.16</v>
      </c>
      <c r="HL39" s="481">
        <v>0</v>
      </c>
      <c r="HM39" s="481">
        <v>0</v>
      </c>
      <c r="HN39" s="49">
        <f t="shared" ref="HN39:HN49" si="107">(GP39+HA39+HM39)/AD39</f>
        <v>68754.066666666666</v>
      </c>
      <c r="HO39" s="481">
        <v>0</v>
      </c>
      <c r="HP39" s="49">
        <f t="shared" ref="HP39:HP62" si="108">(GP39+HA39+HM39+HO39)/AD39</f>
        <v>68754.066666666666</v>
      </c>
      <c r="HQ39" s="53">
        <f t="shared" si="45"/>
        <v>0.43253266922613004</v>
      </c>
      <c r="HR39" s="481">
        <v>0</v>
      </c>
      <c r="HS39" s="481"/>
      <c r="HT39" s="478">
        <v>0</v>
      </c>
      <c r="HU39" s="42">
        <f t="shared" si="98"/>
        <v>4768708</v>
      </c>
      <c r="HV39" s="296">
        <v>230736</v>
      </c>
      <c r="HW39" s="296">
        <f t="shared" si="99"/>
        <v>172890</v>
      </c>
      <c r="HX39" s="119">
        <v>41627</v>
      </c>
      <c r="HY39" s="245">
        <v>47620</v>
      </c>
      <c r="HZ39" s="128"/>
      <c r="IA39" s="119"/>
      <c r="IB39" s="119">
        <v>38045</v>
      </c>
      <c r="IC39" s="245">
        <v>12520</v>
      </c>
      <c r="ID39" s="119"/>
      <c r="IE39" s="245"/>
      <c r="IF39" s="135">
        <v>41820</v>
      </c>
      <c r="IG39" s="245">
        <v>24983</v>
      </c>
      <c r="IH39" s="128">
        <v>41990</v>
      </c>
      <c r="II39" s="350">
        <v>36513</v>
      </c>
      <c r="IJ39" s="341"/>
      <c r="IK39" s="341"/>
      <c r="IL39" s="128">
        <v>42727</v>
      </c>
      <c r="IM39" s="245"/>
      <c r="IN39" s="128">
        <v>42727</v>
      </c>
      <c r="IO39" s="245">
        <v>28342</v>
      </c>
      <c r="IP39" s="119">
        <v>42907</v>
      </c>
      <c r="IQ39" s="245">
        <v>11537</v>
      </c>
      <c r="IR39" s="119">
        <v>42971</v>
      </c>
      <c r="IS39" s="245">
        <v>11375</v>
      </c>
      <c r="IT39" s="289"/>
      <c r="IU39" s="289"/>
      <c r="IV39" s="289"/>
      <c r="IW39" s="289"/>
      <c r="IX39" s="289"/>
      <c r="IY39" s="289"/>
      <c r="IZ39" s="245"/>
      <c r="JA39" s="128"/>
      <c r="JB39" s="120"/>
      <c r="JC39" s="128"/>
      <c r="JD39" s="128"/>
      <c r="JE39" s="120"/>
    </row>
    <row r="40" spans="1:265" ht="24.95" customHeight="1">
      <c r="A40" s="86" t="s">
        <v>293</v>
      </c>
      <c r="B40" s="7" t="s">
        <v>40</v>
      </c>
      <c r="C40" s="7" t="s">
        <v>119</v>
      </c>
      <c r="D40" s="20">
        <v>2014</v>
      </c>
      <c r="E40" s="7" t="s">
        <v>173</v>
      </c>
      <c r="F40" s="20" t="s">
        <v>58</v>
      </c>
      <c r="G40" s="7" t="s">
        <v>697</v>
      </c>
      <c r="H40" s="20" t="s">
        <v>181</v>
      </c>
      <c r="I40" s="57" t="s">
        <v>125</v>
      </c>
      <c r="J40" s="56"/>
      <c r="K40" s="275"/>
      <c r="L40" s="173" t="s">
        <v>64</v>
      </c>
      <c r="M40" s="109" t="s">
        <v>143</v>
      </c>
      <c r="N40" s="110"/>
      <c r="O40" s="225">
        <v>1500</v>
      </c>
      <c r="P40" s="225">
        <f>Q40</f>
        <v>128915</v>
      </c>
      <c r="Q40" s="225">
        <v>128915</v>
      </c>
      <c r="R40" s="219">
        <f t="shared" si="106"/>
        <v>8057.1875</v>
      </c>
      <c r="S40" s="225">
        <f t="shared" si="66"/>
        <v>85.943333333333328</v>
      </c>
      <c r="T40" s="225">
        <f t="shared" si="67"/>
        <v>85.943333333333328</v>
      </c>
      <c r="U40" s="225">
        <f t="shared" si="69"/>
        <v>91.350037556157076</v>
      </c>
      <c r="V40" s="225">
        <f t="shared" si="70"/>
        <v>8057.1875</v>
      </c>
      <c r="W40" s="219">
        <f t="shared" si="71"/>
        <v>93.75</v>
      </c>
      <c r="X40" s="229"/>
      <c r="Y40" s="230">
        <f t="shared" si="72"/>
        <v>0.94081333333333339</v>
      </c>
      <c r="Z40" s="229"/>
      <c r="AA40" s="461">
        <v>90</v>
      </c>
      <c r="AB40" s="462"/>
      <c r="AC40" s="7" t="s">
        <v>16</v>
      </c>
      <c r="AD40" s="345">
        <f t="shared" si="75"/>
        <v>16</v>
      </c>
      <c r="AE40" s="8"/>
      <c r="AF40" s="7">
        <v>16</v>
      </c>
      <c r="AG40" s="56"/>
      <c r="AH40" s="56"/>
      <c r="AI40" s="465">
        <v>1374.99</v>
      </c>
      <c r="AJ40" s="466">
        <v>1411.22</v>
      </c>
      <c r="AK40" s="9">
        <f t="shared" si="1"/>
        <v>88.201250000000002</v>
      </c>
      <c r="AL40" s="82">
        <f>2/AD40</f>
        <v>0.125</v>
      </c>
      <c r="AM40" s="82">
        <f>2/AD40</f>
        <v>0.125</v>
      </c>
      <c r="AN40" s="82">
        <f>6/AD40</f>
        <v>0.375</v>
      </c>
      <c r="AO40" s="82">
        <f>5/AD40</f>
        <v>0.3125</v>
      </c>
      <c r="AP40" s="82">
        <f>1/AD40</f>
        <v>6.25E-2</v>
      </c>
      <c r="AQ40" s="465"/>
      <c r="AR40" s="80">
        <v>0</v>
      </c>
      <c r="AS40" s="82">
        <f t="shared" si="58"/>
        <v>0</v>
      </c>
      <c r="AT40" s="61">
        <v>2.5</v>
      </c>
      <c r="AU40" s="59" t="s">
        <v>621</v>
      </c>
      <c r="AV40" s="20"/>
      <c r="AW40" s="202">
        <v>41667</v>
      </c>
      <c r="AX40" s="202">
        <v>41781</v>
      </c>
      <c r="AY40" s="115" t="s">
        <v>261</v>
      </c>
      <c r="AZ40" s="113" t="s">
        <v>411</v>
      </c>
      <c r="BA40" s="36"/>
      <c r="BB40" s="216">
        <v>41929</v>
      </c>
      <c r="BC40" s="102"/>
      <c r="BD40" s="102">
        <v>41955</v>
      </c>
      <c r="BE40" s="216">
        <v>41992</v>
      </c>
      <c r="BF40" s="102"/>
      <c r="BG40" s="171">
        <v>42017</v>
      </c>
      <c r="BH40" s="474" t="s">
        <v>285</v>
      </c>
      <c r="BI40" s="176">
        <v>42116</v>
      </c>
      <c r="BJ40" s="176">
        <v>42074</v>
      </c>
      <c r="BK40" s="322">
        <v>42118</v>
      </c>
      <c r="BL40" s="322">
        <f t="shared" si="2"/>
        <v>42849</v>
      </c>
      <c r="BM40" s="322">
        <f t="shared" si="3"/>
        <v>43214</v>
      </c>
      <c r="BN40" s="322" t="str">
        <f t="shared" si="61"/>
        <v>oui</v>
      </c>
      <c r="BO40" s="176" t="s">
        <v>278</v>
      </c>
      <c r="BP40" s="37" t="s">
        <v>296</v>
      </c>
      <c r="BQ40" s="200" t="s">
        <v>350</v>
      </c>
      <c r="BR40" s="104"/>
      <c r="BS40" s="104"/>
      <c r="BT40" s="104"/>
      <c r="BU40" s="167" t="s">
        <v>143</v>
      </c>
      <c r="BV40" s="333">
        <v>42478</v>
      </c>
      <c r="BW40" s="268" t="s">
        <v>460</v>
      </c>
      <c r="BX40" s="168">
        <v>2657721.79</v>
      </c>
      <c r="BY40" s="333">
        <v>42522</v>
      </c>
      <c r="BZ40" s="373">
        <f>DATE(YEAR(BV40),MONTH(BV40)+24,DAY(BV40))</f>
        <v>43208</v>
      </c>
      <c r="CA40" s="373">
        <v>42573</v>
      </c>
      <c r="CB40" s="276">
        <f>DATE(YEAR(BV40),MONTH(BV40)+22,DAY(BV40))</f>
        <v>43149</v>
      </c>
      <c r="CC40" s="681">
        <f>(CW40-CB40)/30</f>
        <v>-6.4</v>
      </c>
      <c r="CD40" s="510"/>
      <c r="CE40" s="380">
        <v>42488</v>
      </c>
      <c r="CF40" s="376">
        <v>2016</v>
      </c>
      <c r="CG40" s="496">
        <f t="shared" si="76"/>
        <v>18.633333333333333</v>
      </c>
      <c r="CH40" s="122">
        <v>13</v>
      </c>
      <c r="CI40" s="256">
        <f t="shared" si="100"/>
        <v>14</v>
      </c>
      <c r="CJ40" s="122">
        <f t="shared" si="77"/>
        <v>14</v>
      </c>
      <c r="CK40" s="256">
        <f t="shared" si="78"/>
        <v>15</v>
      </c>
      <c r="CL40" s="122">
        <f t="shared" si="79"/>
        <v>1</v>
      </c>
      <c r="CM40" s="256">
        <f t="shared" si="80"/>
        <v>1</v>
      </c>
      <c r="CN40" s="256">
        <f>88922.4268984531/12</f>
        <v>7410.2022415377578</v>
      </c>
      <c r="CO40" s="259">
        <f t="shared" si="104"/>
        <v>7410.2022415377578</v>
      </c>
      <c r="CP40" s="250">
        <v>42702</v>
      </c>
      <c r="CQ40" s="652">
        <f t="shared" si="81"/>
        <v>42883</v>
      </c>
      <c r="CR40" s="380">
        <v>42921</v>
      </c>
      <c r="CS40" s="389">
        <f t="shared" si="73"/>
        <v>43303</v>
      </c>
      <c r="CT40" s="121">
        <v>42928</v>
      </c>
      <c r="CU40" s="250" t="s">
        <v>133</v>
      </c>
      <c r="CV40" s="673">
        <v>42942</v>
      </c>
      <c r="CW40" s="672">
        <v>42957</v>
      </c>
      <c r="CX40" s="515">
        <v>2017</v>
      </c>
      <c r="CY40" s="449">
        <v>42901</v>
      </c>
      <c r="CZ40" s="129"/>
      <c r="DA40" s="251" t="s">
        <v>133</v>
      </c>
      <c r="DB40" s="129"/>
      <c r="DC40" s="129"/>
      <c r="DD40" s="343">
        <v>43146</v>
      </c>
      <c r="DE40" s="57"/>
      <c r="DF40" s="57"/>
      <c r="DG40" s="343">
        <v>43056</v>
      </c>
      <c r="DH40" s="343">
        <v>43059</v>
      </c>
      <c r="DI40" s="129"/>
      <c r="DJ40" s="129"/>
      <c r="DK40" s="57"/>
      <c r="DL40" s="57"/>
      <c r="DM40" s="57"/>
      <c r="DN40" s="57"/>
      <c r="DO40" s="249" t="s">
        <v>133</v>
      </c>
      <c r="DP40" s="57"/>
      <c r="DQ40" s="57"/>
      <c r="DR40" s="57"/>
      <c r="DS40" s="128"/>
      <c r="DT40" s="128"/>
      <c r="DU40" s="128"/>
      <c r="DV40" s="589" t="str">
        <f t="shared" si="82"/>
        <v>0</v>
      </c>
      <c r="DW40" s="128"/>
      <c r="DX40" s="128"/>
      <c r="DY40" s="589" t="str">
        <f t="shared" si="83"/>
        <v>0</v>
      </c>
      <c r="DZ40" s="128"/>
      <c r="EA40" s="128"/>
      <c r="EB40" s="589" t="str">
        <f t="shared" si="84"/>
        <v>0</v>
      </c>
      <c r="EC40" s="128"/>
      <c r="ED40" s="128"/>
      <c r="EE40" s="589" t="str">
        <f t="shared" si="85"/>
        <v>0</v>
      </c>
      <c r="EF40" s="135"/>
      <c r="EG40" s="646"/>
      <c r="EH40" s="589" t="str">
        <f t="shared" si="86"/>
        <v>0</v>
      </c>
      <c r="EI40" s="245"/>
      <c r="EJ40" s="128"/>
      <c r="EK40" s="245"/>
      <c r="EL40" s="589" t="str">
        <f t="shared" si="87"/>
        <v>0</v>
      </c>
      <c r="EM40" s="128"/>
      <c r="EN40" s="245"/>
      <c r="EO40" s="589" t="str">
        <f t="shared" si="88"/>
        <v>0</v>
      </c>
      <c r="EP40" s="128"/>
      <c r="EQ40" s="245"/>
      <c r="ER40" s="589" t="str">
        <f t="shared" si="89"/>
        <v>0</v>
      </c>
      <c r="ES40" s="128"/>
      <c r="ET40" s="644"/>
      <c r="EU40" s="593" t="str">
        <f t="shared" si="90"/>
        <v>0</v>
      </c>
      <c r="EV40" s="135"/>
      <c r="EW40" s="649"/>
      <c r="EX40" s="589" t="str">
        <f t="shared" si="91"/>
        <v>0</v>
      </c>
      <c r="EY40" s="128"/>
      <c r="EZ40" s="128"/>
      <c r="FA40" s="589" t="str">
        <f t="shared" si="92"/>
        <v>0</v>
      </c>
      <c r="FB40" s="128"/>
      <c r="FC40" s="128"/>
      <c r="FD40" s="589" t="str">
        <f t="shared" si="93"/>
        <v>0</v>
      </c>
      <c r="FE40" s="128"/>
      <c r="FF40" s="128"/>
      <c r="FG40" s="589" t="str">
        <f t="shared" si="94"/>
        <v>0</v>
      </c>
      <c r="FH40" s="128"/>
      <c r="FI40" s="128"/>
      <c r="FJ40" s="589" t="str">
        <f t="shared" si="95"/>
        <v>0</v>
      </c>
      <c r="FK40" s="128"/>
      <c r="FL40" s="128"/>
      <c r="FM40" s="128"/>
      <c r="FN40" s="600"/>
      <c r="FO40" s="600"/>
      <c r="FP40" s="598">
        <f t="shared" si="27"/>
        <v>0</v>
      </c>
      <c r="FQ40" s="600"/>
      <c r="FR40" s="600"/>
      <c r="FS40" s="623"/>
      <c r="FT40" s="623"/>
      <c r="FU40" s="627"/>
      <c r="FV40" s="627"/>
      <c r="FW40" s="628">
        <f t="shared" si="96"/>
        <v>0</v>
      </c>
      <c r="FX40" s="628">
        <f t="shared" si="29"/>
        <v>0</v>
      </c>
      <c r="FY40" s="629"/>
      <c r="FZ40" s="656" t="s">
        <v>863</v>
      </c>
      <c r="GA40" s="629"/>
      <c r="GB40" s="629"/>
      <c r="GC40" s="114"/>
      <c r="GD40" s="723">
        <v>2681224</v>
      </c>
      <c r="GE40" s="22">
        <f t="shared" ref="GE40:GE46" si="109">GO40+GS40+GZ40</f>
        <v>2681224</v>
      </c>
      <c r="GF40" s="478">
        <f t="shared" si="105"/>
        <v>2785032.37</v>
      </c>
      <c r="GG40" s="48">
        <f t="shared" si="30"/>
        <v>103808.37000000011</v>
      </c>
      <c r="GH40" s="23">
        <f t="shared" si="31"/>
        <v>2025.4928181295866</v>
      </c>
      <c r="GI40" s="23">
        <f t="shared" si="32"/>
        <v>174064.52312500001</v>
      </c>
      <c r="GJ40" s="22"/>
      <c r="GK40" s="478">
        <v>2460822</v>
      </c>
      <c r="GL40" s="48">
        <f t="shared" si="97"/>
        <v>2460822</v>
      </c>
      <c r="GM40" s="137">
        <f t="shared" si="101"/>
        <v>0.90214364797490654</v>
      </c>
      <c r="GN40" s="138"/>
      <c r="GO40" s="22">
        <v>797080</v>
      </c>
      <c r="GP40" s="478">
        <v>863024</v>
      </c>
      <c r="GQ40" s="23">
        <f t="shared" si="35"/>
        <v>53939</v>
      </c>
      <c r="GR40" s="39">
        <f t="shared" si="36"/>
        <v>65944</v>
      </c>
      <c r="GS40" s="22">
        <f>290632+1273512</f>
        <v>1564144</v>
      </c>
      <c r="GT40" s="478">
        <f>GU40+GV40</f>
        <v>1596953.37</v>
      </c>
      <c r="GU40" s="480">
        <v>242605.3</v>
      </c>
      <c r="GV40" s="480">
        <v>1354348.07</v>
      </c>
      <c r="GW40" s="39">
        <f t="shared" si="38"/>
        <v>32809.370000000112</v>
      </c>
      <c r="GX40" s="23">
        <f t="shared" si="39"/>
        <v>99809.585625000007</v>
      </c>
      <c r="GY40" s="478"/>
      <c r="GZ40" s="22">
        <v>320000</v>
      </c>
      <c r="HA40" s="478">
        <f>144000*0+320000</f>
        <v>320000</v>
      </c>
      <c r="HB40" s="75">
        <v>0</v>
      </c>
      <c r="HC40" s="41">
        <f t="shared" si="40"/>
        <v>0.1148999212529799</v>
      </c>
      <c r="HD40" s="329"/>
      <c r="HE40" s="478">
        <v>5055</v>
      </c>
      <c r="HF40" s="21">
        <f t="shared" si="62"/>
        <v>0</v>
      </c>
      <c r="HG40" s="49">
        <f t="shared" si="41"/>
        <v>20000</v>
      </c>
      <c r="HH40" s="84">
        <f t="shared" si="102"/>
        <v>73939</v>
      </c>
      <c r="HI40" s="24">
        <f t="shared" si="103"/>
        <v>0</v>
      </c>
      <c r="HJ40" s="50">
        <v>5.07</v>
      </c>
      <c r="HK40" s="50">
        <v>5.07</v>
      </c>
      <c r="HL40" s="40">
        <v>0</v>
      </c>
      <c r="HM40" s="40">
        <v>0</v>
      </c>
      <c r="HN40" s="23">
        <f t="shared" si="107"/>
        <v>73939</v>
      </c>
      <c r="HO40" s="40">
        <v>0</v>
      </c>
      <c r="HP40" s="23">
        <f t="shared" si="108"/>
        <v>73939</v>
      </c>
      <c r="HQ40" s="53">
        <f t="shared" si="45"/>
        <v>0.42477926387620407</v>
      </c>
      <c r="HR40" s="40">
        <v>0</v>
      </c>
      <c r="HS40" s="40"/>
      <c r="HT40" s="483">
        <v>0</v>
      </c>
      <c r="HU40" s="42">
        <f t="shared" si="98"/>
        <v>2785032.37</v>
      </c>
      <c r="HV40" s="296">
        <v>143972</v>
      </c>
      <c r="HW40" s="296">
        <f t="shared" si="99"/>
        <v>129574</v>
      </c>
      <c r="HX40" s="119">
        <v>41641</v>
      </c>
      <c r="HY40" s="245">
        <v>14192</v>
      </c>
      <c r="HZ40" s="245"/>
      <c r="IA40" s="119"/>
      <c r="IB40" s="119">
        <v>41696</v>
      </c>
      <c r="IC40" s="245">
        <v>7096</v>
      </c>
      <c r="ID40" s="119"/>
      <c r="IE40" s="245"/>
      <c r="IF40" s="119">
        <v>41827</v>
      </c>
      <c r="IG40" s="245">
        <v>27458</v>
      </c>
      <c r="IH40" s="120">
        <v>41933</v>
      </c>
      <c r="II40" s="350">
        <v>20852</v>
      </c>
      <c r="IJ40" s="341"/>
      <c r="IK40" s="341"/>
      <c r="IL40" s="128">
        <v>42564</v>
      </c>
      <c r="IM40" s="245"/>
      <c r="IN40" s="128">
        <v>42564</v>
      </c>
      <c r="IO40" s="245"/>
      <c r="IP40" s="128">
        <v>42564</v>
      </c>
      <c r="IQ40" s="245">
        <v>30071</v>
      </c>
      <c r="IR40" s="128">
        <v>42660</v>
      </c>
      <c r="IS40" s="245">
        <v>8517</v>
      </c>
      <c r="IT40" s="128">
        <v>42822</v>
      </c>
      <c r="IU40" s="245">
        <v>6635</v>
      </c>
      <c r="IV40" s="252">
        <v>42902</v>
      </c>
      <c r="IW40" s="245">
        <v>7555</v>
      </c>
      <c r="IX40" s="252">
        <v>42921</v>
      </c>
      <c r="IY40" s="245">
        <v>7198</v>
      </c>
      <c r="IZ40" s="245"/>
      <c r="JA40" s="128"/>
      <c r="JB40" s="120"/>
      <c r="JC40" s="128"/>
      <c r="JD40" s="128"/>
      <c r="JE40" s="120"/>
    </row>
    <row r="41" spans="1:265" ht="24.95" customHeight="1">
      <c r="A41" s="86" t="s">
        <v>282</v>
      </c>
      <c r="B41" s="20" t="s">
        <v>31</v>
      </c>
      <c r="C41" s="20" t="s">
        <v>117</v>
      </c>
      <c r="D41" s="20">
        <v>2015</v>
      </c>
      <c r="E41" s="20" t="s">
        <v>270</v>
      </c>
      <c r="F41" s="20" t="s">
        <v>30</v>
      </c>
      <c r="G41" s="20" t="s">
        <v>739</v>
      </c>
      <c r="H41" s="20" t="s">
        <v>182</v>
      </c>
      <c r="I41" s="57"/>
      <c r="J41" s="57"/>
      <c r="K41" s="275" t="s">
        <v>720</v>
      </c>
      <c r="L41" s="173" t="s">
        <v>63</v>
      </c>
      <c r="M41" s="109" t="s">
        <v>291</v>
      </c>
      <c r="N41" s="110"/>
      <c r="O41" s="224">
        <v>3547</v>
      </c>
      <c r="P41" s="224">
        <v>319230</v>
      </c>
      <c r="Q41" s="224">
        <v>132491.5</v>
      </c>
      <c r="R41" s="219">
        <f t="shared" si="106"/>
        <v>16801.57894736842</v>
      </c>
      <c r="S41" s="219">
        <f t="shared" si="66"/>
        <v>90</v>
      </c>
      <c r="T41" s="225">
        <f t="shared" si="67"/>
        <v>37.353115308711587</v>
      </c>
      <c r="U41" s="225">
        <f t="shared" si="69"/>
        <v>110.26440187087003</v>
      </c>
      <c r="V41" s="225">
        <f t="shared" si="70"/>
        <v>6973.2368421052633</v>
      </c>
      <c r="W41" s="219">
        <f t="shared" si="71"/>
        <v>186.68421052631578</v>
      </c>
      <c r="X41" s="226"/>
      <c r="Y41" s="227">
        <f t="shared" si="72"/>
        <v>0.33875951508316887</v>
      </c>
      <c r="Z41" s="226" t="s">
        <v>203</v>
      </c>
      <c r="AA41" s="461"/>
      <c r="AB41" s="462"/>
      <c r="AC41" s="20" t="s">
        <v>16</v>
      </c>
      <c r="AD41" s="345">
        <f t="shared" si="75"/>
        <v>19</v>
      </c>
      <c r="AE41" s="55"/>
      <c r="AF41" s="20">
        <v>19</v>
      </c>
      <c r="AG41" s="57"/>
      <c r="AH41" s="57"/>
      <c r="AI41" s="465">
        <v>1200.06</v>
      </c>
      <c r="AJ41" s="466">
        <v>1201.58</v>
      </c>
      <c r="AK41" s="9">
        <f t="shared" si="1"/>
        <v>63.241052631578945</v>
      </c>
      <c r="AL41" s="63">
        <v>0</v>
      </c>
      <c r="AM41" s="82">
        <f>13/AD41</f>
        <v>0.68421052631578949</v>
      </c>
      <c r="AN41" s="82">
        <f>5/AD41</f>
        <v>0.26315789473684209</v>
      </c>
      <c r="AO41" s="82">
        <f>2/AD41</f>
        <v>0.10526315789473684</v>
      </c>
      <c r="AP41" s="82">
        <v>0</v>
      </c>
      <c r="AQ41" s="465"/>
      <c r="AR41" s="80" t="s">
        <v>343</v>
      </c>
      <c r="AS41" s="82"/>
      <c r="AT41" s="63">
        <v>2</v>
      </c>
      <c r="AU41" s="59" t="s">
        <v>621</v>
      </c>
      <c r="AV41" s="20"/>
      <c r="AW41" s="202">
        <v>42031</v>
      </c>
      <c r="AX41" s="57"/>
      <c r="AY41" s="115" t="s">
        <v>11</v>
      </c>
      <c r="AZ41" s="113" t="s">
        <v>354</v>
      </c>
      <c r="BA41" s="36"/>
      <c r="BB41" s="216">
        <v>42248</v>
      </c>
      <c r="BC41" s="102"/>
      <c r="BD41" s="102">
        <v>42536</v>
      </c>
      <c r="BE41" s="216">
        <v>42538</v>
      </c>
      <c r="BF41" s="102">
        <v>42541</v>
      </c>
      <c r="BG41" s="171">
        <v>42548</v>
      </c>
      <c r="BH41" s="214">
        <v>42559</v>
      </c>
      <c r="BI41" s="176" t="s">
        <v>469</v>
      </c>
      <c r="BJ41" s="172">
        <v>42235</v>
      </c>
      <c r="BK41" s="323">
        <f>BH41</f>
        <v>42559</v>
      </c>
      <c r="BL41" s="322">
        <f t="shared" si="2"/>
        <v>43289</v>
      </c>
      <c r="BM41" s="322">
        <f t="shared" si="3"/>
        <v>43654</v>
      </c>
      <c r="BN41" s="322" t="str">
        <f t="shared" si="61"/>
        <v>oui</v>
      </c>
      <c r="BO41" s="172">
        <v>42564</v>
      </c>
      <c r="BP41" s="37" t="s">
        <v>650</v>
      </c>
      <c r="BQ41" s="393">
        <v>42747</v>
      </c>
      <c r="BR41" s="416"/>
      <c r="BS41" s="416">
        <v>42915</v>
      </c>
      <c r="BT41" s="416">
        <v>42719</v>
      </c>
      <c r="BU41" s="167" t="s">
        <v>72</v>
      </c>
      <c r="BV41" s="333">
        <v>42719</v>
      </c>
      <c r="BW41" s="268" t="s">
        <v>612</v>
      </c>
      <c r="BX41" s="168">
        <v>2533920.5099999998</v>
      </c>
      <c r="BY41" s="305">
        <f t="shared" ref="BY41:BY49" si="110">DATE(YEAR(BV41),MONTH(BV41)+18,DAY(BV41))</f>
        <v>43266</v>
      </c>
      <c r="BZ41" s="276">
        <f>DATE(YEAR(BV41),MONTH(BV41)+24,DAY(BV41))</f>
        <v>43449</v>
      </c>
      <c r="CA41" s="268"/>
      <c r="CB41" s="276">
        <v>43419</v>
      </c>
      <c r="CC41" s="681">
        <f>(CW41-CB41)/30</f>
        <v>1.8666666666666667</v>
      </c>
      <c r="CD41" s="509"/>
      <c r="CE41" s="383">
        <v>42947</v>
      </c>
      <c r="CF41" s="376">
        <v>2017</v>
      </c>
      <c r="CG41" s="496">
        <f t="shared" si="76"/>
        <v>23.3</v>
      </c>
      <c r="CH41" s="273">
        <v>15</v>
      </c>
      <c r="CI41" s="273">
        <f t="shared" si="100"/>
        <v>16</v>
      </c>
      <c r="CJ41" s="257">
        <f t="shared" si="77"/>
        <v>15</v>
      </c>
      <c r="CK41" s="257">
        <f t="shared" si="78"/>
        <v>17</v>
      </c>
      <c r="CL41" s="257">
        <f t="shared" si="79"/>
        <v>0</v>
      </c>
      <c r="CM41" s="257">
        <f t="shared" si="80"/>
        <v>1</v>
      </c>
      <c r="CN41" s="263"/>
      <c r="CO41" s="263">
        <f t="shared" si="104"/>
        <v>0</v>
      </c>
      <c r="CP41" s="258"/>
      <c r="CQ41" s="699">
        <f t="shared" si="81"/>
        <v>43404</v>
      </c>
      <c r="CR41" s="446">
        <f>DATE(YEAR(CE41),MONTH(CE41)+CH41,DAY(CE41))</f>
        <v>43404</v>
      </c>
      <c r="CS41" s="458">
        <f t="shared" si="73"/>
        <v>731</v>
      </c>
      <c r="CT41" s="198"/>
      <c r="CU41" s="198"/>
      <c r="CV41" s="650">
        <f>DATE(YEAR(CR41),MONTH(CR41),DAY(CR41)+5)</f>
        <v>43409</v>
      </c>
      <c r="CW41" s="446">
        <v>43475</v>
      </c>
      <c r="CX41" s="458"/>
      <c r="CY41" s="123"/>
      <c r="CZ41" s="129"/>
      <c r="DA41" s="129"/>
      <c r="DB41" s="129"/>
      <c r="DC41" s="129"/>
      <c r="DD41" s="129"/>
      <c r="DE41" s="57"/>
      <c r="DF41" s="57"/>
      <c r="DG41" s="57"/>
      <c r="DH41" s="57"/>
      <c r="DI41" s="57"/>
      <c r="DJ41" s="57"/>
      <c r="DK41" s="57"/>
      <c r="DL41" s="57"/>
      <c r="DM41" s="57"/>
      <c r="DN41" s="119"/>
      <c r="DO41" s="57"/>
      <c r="DP41" s="57"/>
      <c r="DQ41" s="57"/>
      <c r="DR41" s="57"/>
      <c r="DS41" s="128">
        <v>41976</v>
      </c>
      <c r="DT41" s="128">
        <v>41977</v>
      </c>
      <c r="DU41" s="128">
        <v>41977</v>
      </c>
      <c r="DV41" s="589">
        <f t="shared" si="82"/>
        <v>0</v>
      </c>
      <c r="DW41" s="128">
        <v>42041</v>
      </c>
      <c r="DX41" s="128">
        <v>42041</v>
      </c>
      <c r="DY41" s="589">
        <f t="shared" si="83"/>
        <v>0</v>
      </c>
      <c r="DZ41" s="128">
        <v>42079</v>
      </c>
      <c r="EA41" s="128">
        <v>42079</v>
      </c>
      <c r="EB41" s="589">
        <f t="shared" si="84"/>
        <v>0</v>
      </c>
      <c r="EC41" s="128">
        <v>42177</v>
      </c>
      <c r="ED41" s="128">
        <v>42352</v>
      </c>
      <c r="EE41" s="589">
        <f t="shared" si="85"/>
        <v>175</v>
      </c>
      <c r="EF41" s="128">
        <v>42444</v>
      </c>
      <c r="EG41" s="128">
        <v>42444</v>
      </c>
      <c r="EH41" s="589">
        <f t="shared" si="86"/>
        <v>0</v>
      </c>
      <c r="EI41" s="128">
        <v>42514</v>
      </c>
      <c r="EJ41" s="128">
        <v>42901</v>
      </c>
      <c r="EK41" s="128">
        <v>42940</v>
      </c>
      <c r="EL41" s="589">
        <f t="shared" si="87"/>
        <v>39</v>
      </c>
      <c r="EM41" s="128">
        <v>42774</v>
      </c>
      <c r="EN41" s="128">
        <v>42947</v>
      </c>
      <c r="EO41" s="589">
        <f t="shared" si="88"/>
        <v>173</v>
      </c>
      <c r="EP41" s="128">
        <v>43059</v>
      </c>
      <c r="EQ41" s="128">
        <v>43081</v>
      </c>
      <c r="ER41" s="589">
        <f t="shared" si="89"/>
        <v>22</v>
      </c>
      <c r="ES41" s="128">
        <v>43059</v>
      </c>
      <c r="ET41" s="644">
        <v>43144</v>
      </c>
      <c r="EU41" s="593">
        <f t="shared" si="90"/>
        <v>85</v>
      </c>
      <c r="EV41" s="600">
        <v>43166</v>
      </c>
      <c r="EW41" s="600">
        <f ca="1">IF(EV41&lt;TODAY(),TODAY(),EV41)</f>
        <v>43166</v>
      </c>
      <c r="EX41" s="596">
        <f t="shared" ca="1" si="91"/>
        <v>0</v>
      </c>
      <c r="EY41" s="600">
        <v>43209</v>
      </c>
      <c r="EZ41" s="600">
        <f ca="1">IF(EY41&lt;TODAY(),TODAY(),EY41)</f>
        <v>43209</v>
      </c>
      <c r="FA41" s="596">
        <f t="shared" ca="1" si="92"/>
        <v>0</v>
      </c>
      <c r="FB41" s="600">
        <v>43229</v>
      </c>
      <c r="FC41" s="600">
        <f ca="1">IF(FB41&lt;TODAY(),TODAY(),FB41)</f>
        <v>43229</v>
      </c>
      <c r="FD41" s="596">
        <f t="shared" ca="1" si="93"/>
        <v>0</v>
      </c>
      <c r="FE41" s="600">
        <v>43252</v>
      </c>
      <c r="FF41" s="600">
        <f ca="1">IF(FE41&lt;TODAY(),TODAY(),FE41)</f>
        <v>43252</v>
      </c>
      <c r="FG41" s="596">
        <f t="shared" ca="1" si="94"/>
        <v>0</v>
      </c>
      <c r="FH41" s="600">
        <v>43287</v>
      </c>
      <c r="FI41" s="600">
        <f ca="1">IF(FH41&lt;TODAY(),TODAY(),FH41)</f>
        <v>43287</v>
      </c>
      <c r="FJ41" s="596">
        <f t="shared" ca="1" si="95"/>
        <v>0</v>
      </c>
      <c r="FK41" s="600">
        <v>43252</v>
      </c>
      <c r="FL41" s="600">
        <v>43252</v>
      </c>
      <c r="FM41" s="600">
        <v>43224</v>
      </c>
      <c r="FN41" s="600">
        <v>43404</v>
      </c>
      <c r="FO41" s="600">
        <f t="shared" ref="FO41:FO72" si="111">CR41</f>
        <v>43404</v>
      </c>
      <c r="FP41" s="598">
        <f t="shared" si="27"/>
        <v>15.233333333333333</v>
      </c>
      <c r="FQ41" s="600">
        <v>43434</v>
      </c>
      <c r="FR41" s="600">
        <f t="shared" ref="FR41:FR72" si="112">CW41</f>
        <v>43475</v>
      </c>
      <c r="FS41" s="627">
        <v>66994</v>
      </c>
      <c r="FT41" s="665">
        <v>67805</v>
      </c>
      <c r="FU41" s="665">
        <v>97642</v>
      </c>
      <c r="FV41" s="665"/>
      <c r="FW41" s="628">
        <f t="shared" si="96"/>
        <v>12.9</v>
      </c>
      <c r="FX41" s="628">
        <f t="shared" si="29"/>
        <v>1.3666666666666667</v>
      </c>
      <c r="FY41" s="624" t="s">
        <v>30</v>
      </c>
      <c r="FZ41" s="641"/>
      <c r="GA41" s="641" t="s">
        <v>894</v>
      </c>
      <c r="GB41" s="641" t="s">
        <v>825</v>
      </c>
      <c r="GC41" s="114"/>
      <c r="GD41" s="118"/>
      <c r="GE41" s="10">
        <f t="shared" si="109"/>
        <v>2660388.3050338021</v>
      </c>
      <c r="GF41" s="70">
        <f t="shared" si="105"/>
        <v>2634369</v>
      </c>
      <c r="GG41" s="12">
        <f t="shared" si="30"/>
        <v>-26019.305033802055</v>
      </c>
      <c r="GH41" s="23">
        <f t="shared" si="31"/>
        <v>2195.1977401129943</v>
      </c>
      <c r="GI41" s="23">
        <f t="shared" si="32"/>
        <v>138651</v>
      </c>
      <c r="GJ41" s="10">
        <v>2613042.4974093148</v>
      </c>
      <c r="GK41" s="11">
        <v>1858695.408962426</v>
      </c>
      <c r="GL41" s="12">
        <f t="shared" si="97"/>
        <v>-754347.08844688884</v>
      </c>
      <c r="GM41" s="137">
        <f t="shared" si="101"/>
        <v>0.72037289102272195</v>
      </c>
      <c r="GN41" s="139">
        <v>0.39772600000000002</v>
      </c>
      <c r="GO41" s="10">
        <v>780309.39272020268</v>
      </c>
      <c r="GP41" s="11">
        <v>771141</v>
      </c>
      <c r="GQ41" s="23">
        <f t="shared" si="35"/>
        <v>40586.368421052633</v>
      </c>
      <c r="GR41" s="38">
        <f t="shared" si="36"/>
        <v>-9168.3927202026825</v>
      </c>
      <c r="GS41" s="10">
        <v>1460078.9123135994</v>
      </c>
      <c r="GT41" s="11">
        <f>SUBTOTAL(9,GU41:GV41)</f>
        <v>1359322</v>
      </c>
      <c r="GU41" s="13">
        <v>334066</v>
      </c>
      <c r="GV41" s="13">
        <v>1025256</v>
      </c>
      <c r="GW41" s="38">
        <f t="shared" si="38"/>
        <v>-100756.91231359937</v>
      </c>
      <c r="GX41" s="23">
        <f t="shared" si="39"/>
        <v>71543.263157894733</v>
      </c>
      <c r="GY41" s="11"/>
      <c r="GZ41" s="22">
        <v>420000</v>
      </c>
      <c r="HA41" s="11">
        <v>420000</v>
      </c>
      <c r="HB41" s="70"/>
      <c r="HC41" s="41">
        <f t="shared" si="40"/>
        <v>0.15943096809900206</v>
      </c>
      <c r="HD41" s="329"/>
      <c r="HE41" s="663">
        <v>16912</v>
      </c>
      <c r="HF41" s="24">
        <f t="shared" si="62"/>
        <v>0</v>
      </c>
      <c r="HG41" s="23">
        <f t="shared" si="41"/>
        <v>22105.263157894737</v>
      </c>
      <c r="HH41" s="84">
        <f t="shared" si="102"/>
        <v>62691.631578947367</v>
      </c>
      <c r="HI41" s="24">
        <f t="shared" si="103"/>
        <v>0</v>
      </c>
      <c r="HJ41" s="51">
        <v>5.65</v>
      </c>
      <c r="HK41" s="51">
        <v>5.65</v>
      </c>
      <c r="HL41" s="40">
        <v>510850.13361374999</v>
      </c>
      <c r="HM41" s="40">
        <v>380000</v>
      </c>
      <c r="HN41" s="23">
        <f t="shared" si="107"/>
        <v>82691.631578947374</v>
      </c>
      <c r="HO41" s="40">
        <v>0</v>
      </c>
      <c r="HP41" s="23">
        <f t="shared" si="108"/>
        <v>82691.631578947374</v>
      </c>
      <c r="HQ41" s="53">
        <f t="shared" si="45"/>
        <v>0.51790123800628007</v>
      </c>
      <c r="HR41" s="40">
        <v>111550</v>
      </c>
      <c r="HS41" s="40"/>
      <c r="HT41" s="483">
        <v>66994</v>
      </c>
      <c r="HU41" s="42">
        <f t="shared" si="98"/>
        <v>3145219.1336137499</v>
      </c>
      <c r="HV41" s="296">
        <v>139335</v>
      </c>
      <c r="HW41" s="296">
        <f t="shared" si="99"/>
        <v>97535</v>
      </c>
      <c r="HX41" s="119">
        <v>41992</v>
      </c>
      <c r="HY41" s="245">
        <v>13467</v>
      </c>
      <c r="HZ41" s="245"/>
      <c r="IA41" s="119"/>
      <c r="IB41" s="119">
        <v>42082</v>
      </c>
      <c r="IC41" s="245">
        <v>4987</v>
      </c>
      <c r="ID41" s="119">
        <v>41764</v>
      </c>
      <c r="IE41" s="245">
        <v>14412</v>
      </c>
      <c r="IF41" s="119">
        <v>42247</v>
      </c>
      <c r="IG41" s="245">
        <v>13125</v>
      </c>
      <c r="IH41" s="120">
        <v>42487</v>
      </c>
      <c r="II41" s="350">
        <v>26102</v>
      </c>
      <c r="IJ41" s="341"/>
      <c r="IK41" s="341"/>
      <c r="IL41" s="128">
        <v>42726</v>
      </c>
      <c r="IM41" s="245"/>
      <c r="IN41" s="128">
        <v>42726</v>
      </c>
      <c r="IO41" s="245">
        <v>18387</v>
      </c>
      <c r="IP41" s="128">
        <v>43145</v>
      </c>
      <c r="IQ41" s="245">
        <v>7055</v>
      </c>
      <c r="IR41" s="326"/>
      <c r="IS41" s="326"/>
      <c r="IT41" s="289"/>
      <c r="IU41" s="289"/>
      <c r="IV41" s="289"/>
      <c r="IW41" s="289"/>
      <c r="IX41" s="289"/>
      <c r="IY41" s="289"/>
      <c r="IZ41" s="245">
        <v>14412</v>
      </c>
      <c r="JA41" s="128"/>
      <c r="JB41" s="120"/>
      <c r="JC41" s="128"/>
      <c r="JD41" s="128"/>
      <c r="JE41" s="120"/>
    </row>
    <row r="42" spans="1:265" ht="60" customHeight="1">
      <c r="A42" s="6" t="s">
        <v>280</v>
      </c>
      <c r="B42" s="7" t="s">
        <v>28</v>
      </c>
      <c r="C42" s="7" t="s">
        <v>117</v>
      </c>
      <c r="D42" s="7">
        <v>2015</v>
      </c>
      <c r="E42" s="7" t="s">
        <v>252</v>
      </c>
      <c r="F42" s="7" t="s">
        <v>340</v>
      </c>
      <c r="G42" s="7" t="s">
        <v>519</v>
      </c>
      <c r="H42" s="7" t="s">
        <v>182</v>
      </c>
      <c r="I42" s="58" t="s">
        <v>563</v>
      </c>
      <c r="J42" s="56"/>
      <c r="K42" s="275"/>
      <c r="L42" s="173" t="s">
        <v>64</v>
      </c>
      <c r="M42" s="109" t="s">
        <v>72</v>
      </c>
      <c r="N42" s="110"/>
      <c r="O42" s="219">
        <v>779</v>
      </c>
      <c r="P42" s="219">
        <v>195000</v>
      </c>
      <c r="Q42" s="219">
        <f>P42</f>
        <v>195000</v>
      </c>
      <c r="R42" s="219">
        <f t="shared" si="106"/>
        <v>9750</v>
      </c>
      <c r="S42" s="219">
        <f t="shared" si="66"/>
        <v>250.32092426187421</v>
      </c>
      <c r="T42" s="225">
        <f t="shared" si="67"/>
        <v>250.32092426187421</v>
      </c>
      <c r="U42" s="225">
        <f t="shared" si="69"/>
        <v>150.05655978022486</v>
      </c>
      <c r="V42" s="225">
        <f t="shared" si="70"/>
        <v>9750</v>
      </c>
      <c r="W42" s="219">
        <f t="shared" si="71"/>
        <v>38.950000000000003</v>
      </c>
      <c r="X42" s="220"/>
      <c r="Y42" s="221">
        <f t="shared" si="72"/>
        <v>1.6681771501925546</v>
      </c>
      <c r="Z42" s="220" t="s">
        <v>203</v>
      </c>
      <c r="AA42" s="222">
        <v>35</v>
      </c>
      <c r="AB42" s="223">
        <v>0</v>
      </c>
      <c r="AC42" s="20" t="s">
        <v>16</v>
      </c>
      <c r="AD42" s="345">
        <f t="shared" si="75"/>
        <v>20</v>
      </c>
      <c r="AE42" s="8"/>
      <c r="AF42" s="7">
        <v>20</v>
      </c>
      <c r="AG42" s="56"/>
      <c r="AH42" s="56"/>
      <c r="AI42" s="9">
        <v>1304.1600000000001</v>
      </c>
      <c r="AJ42" s="466">
        <v>1299.51</v>
      </c>
      <c r="AK42" s="9">
        <f t="shared" si="1"/>
        <v>64.975499999999997</v>
      </c>
      <c r="AL42" s="81">
        <v>0.2</v>
      </c>
      <c r="AM42" s="81">
        <v>0.4</v>
      </c>
      <c r="AN42" s="81">
        <v>0.2</v>
      </c>
      <c r="AO42" s="81">
        <v>0.2</v>
      </c>
      <c r="AP42" s="81">
        <v>0</v>
      </c>
      <c r="AQ42" s="9"/>
      <c r="AR42" s="79">
        <v>0</v>
      </c>
      <c r="AS42" s="81">
        <f>AR42/O42</f>
        <v>0</v>
      </c>
      <c r="AT42" s="60">
        <v>4</v>
      </c>
      <c r="AU42" s="59" t="s">
        <v>621</v>
      </c>
      <c r="AV42" s="7" t="s">
        <v>126</v>
      </c>
      <c r="AW42" s="196">
        <v>41921</v>
      </c>
      <c r="AX42" s="56"/>
      <c r="AY42" s="113" t="s">
        <v>11</v>
      </c>
      <c r="AZ42" s="113" t="s">
        <v>354</v>
      </c>
      <c r="BA42" s="36"/>
      <c r="BB42" s="216">
        <v>42249</v>
      </c>
      <c r="BC42" s="102"/>
      <c r="BD42" s="102">
        <v>42579</v>
      </c>
      <c r="BE42" s="216">
        <v>42606</v>
      </c>
      <c r="BF42" s="102">
        <v>42606</v>
      </c>
      <c r="BG42" s="171">
        <v>42606</v>
      </c>
      <c r="BH42" s="214">
        <v>42620</v>
      </c>
      <c r="BI42" s="172">
        <v>42711</v>
      </c>
      <c r="BJ42" s="172">
        <v>42646</v>
      </c>
      <c r="BK42" s="323">
        <f>BH42</f>
        <v>42620</v>
      </c>
      <c r="BL42" s="322">
        <f t="shared" si="2"/>
        <v>43350</v>
      </c>
      <c r="BM42" s="322">
        <f t="shared" si="3"/>
        <v>43715</v>
      </c>
      <c r="BN42" s="322" t="str">
        <f t="shared" si="61"/>
        <v>non</v>
      </c>
      <c r="BO42" s="471" t="s">
        <v>468</v>
      </c>
      <c r="BP42" s="37" t="s">
        <v>649</v>
      </c>
      <c r="BQ42" s="436" t="s">
        <v>574</v>
      </c>
      <c r="BR42" s="416">
        <v>42725</v>
      </c>
      <c r="BS42" s="416">
        <v>42915</v>
      </c>
      <c r="BT42" s="416">
        <v>42912</v>
      </c>
      <c r="BU42" s="167" t="s">
        <v>72</v>
      </c>
      <c r="BV42" s="333">
        <v>42719</v>
      </c>
      <c r="BW42" s="268" t="s">
        <v>613</v>
      </c>
      <c r="BX42" s="168">
        <v>2638167.36</v>
      </c>
      <c r="BY42" s="305">
        <f t="shared" si="110"/>
        <v>43266</v>
      </c>
      <c r="BZ42" s="276">
        <f>DATE(YEAR(BV42),MONTH(BV42)+24,DAY(BV42))</f>
        <v>43449</v>
      </c>
      <c r="CA42" s="268"/>
      <c r="CB42" s="276">
        <v>43419</v>
      </c>
      <c r="CC42" s="681">
        <f>(CW42-CB42)/30</f>
        <v>-4.0999999999999996</v>
      </c>
      <c r="CD42" s="509"/>
      <c r="CE42" s="383">
        <v>42786</v>
      </c>
      <c r="CF42" s="376">
        <v>2017</v>
      </c>
      <c r="CG42" s="496">
        <f t="shared" si="76"/>
        <v>17.899999999999999</v>
      </c>
      <c r="CH42" s="355">
        <v>14</v>
      </c>
      <c r="CI42" s="355">
        <f t="shared" si="100"/>
        <v>15</v>
      </c>
      <c r="CJ42" s="257">
        <f t="shared" si="77"/>
        <v>16</v>
      </c>
      <c r="CK42" s="257">
        <f t="shared" si="78"/>
        <v>16</v>
      </c>
      <c r="CL42" s="257">
        <f t="shared" si="79"/>
        <v>2</v>
      </c>
      <c r="CM42" s="257">
        <f t="shared" si="80"/>
        <v>1</v>
      </c>
      <c r="CN42" s="263">
        <v>7269</v>
      </c>
      <c r="CO42" s="248">
        <f t="shared" si="104"/>
        <v>14538</v>
      </c>
      <c r="CP42" s="255">
        <v>42879</v>
      </c>
      <c r="CQ42" s="735">
        <f t="shared" si="81"/>
        <v>43210</v>
      </c>
      <c r="CR42" s="446">
        <v>43271</v>
      </c>
      <c r="CS42" s="388">
        <f t="shared" si="73"/>
        <v>731</v>
      </c>
      <c r="CT42" s="258"/>
      <c r="CU42" s="258"/>
      <c r="CV42" s="650">
        <v>43276</v>
      </c>
      <c r="CW42" s="506">
        <v>43296</v>
      </c>
      <c r="CX42" s="654"/>
      <c r="CY42" s="123"/>
      <c r="CZ42" s="127"/>
      <c r="DA42" s="127"/>
      <c r="DB42" s="127"/>
      <c r="DC42" s="127"/>
      <c r="DD42" s="127"/>
      <c r="DE42" s="56"/>
      <c r="DF42" s="56"/>
      <c r="DG42" s="56"/>
      <c r="DH42" s="56"/>
      <c r="DI42" s="56"/>
      <c r="DJ42" s="56"/>
      <c r="DK42" s="56"/>
      <c r="DL42" s="56"/>
      <c r="DM42" s="56"/>
      <c r="DN42" s="119"/>
      <c r="DO42" s="56"/>
      <c r="DP42" s="56"/>
      <c r="DQ42" s="56"/>
      <c r="DR42" s="56"/>
      <c r="DS42" s="128">
        <v>41828</v>
      </c>
      <c r="DT42" s="128">
        <v>41829</v>
      </c>
      <c r="DU42" s="128">
        <v>41862</v>
      </c>
      <c r="DV42" s="589">
        <f t="shared" si="82"/>
        <v>33</v>
      </c>
      <c r="DW42" s="128">
        <v>42048</v>
      </c>
      <c r="DX42" s="128">
        <v>42040</v>
      </c>
      <c r="DY42" s="589">
        <f t="shared" si="83"/>
        <v>-8</v>
      </c>
      <c r="DZ42" s="128">
        <v>42027</v>
      </c>
      <c r="EA42" s="128">
        <v>42027</v>
      </c>
      <c r="EB42" s="589">
        <f t="shared" si="84"/>
        <v>0</v>
      </c>
      <c r="EC42" s="128">
        <v>42121</v>
      </c>
      <c r="ED42" s="128">
        <v>42184</v>
      </c>
      <c r="EE42" s="589">
        <f t="shared" si="85"/>
        <v>63</v>
      </c>
      <c r="EF42" s="128">
        <v>42244</v>
      </c>
      <c r="EG42" s="128">
        <v>42254</v>
      </c>
      <c r="EH42" s="589">
        <f t="shared" si="86"/>
        <v>10</v>
      </c>
      <c r="EI42" s="128">
        <v>42528</v>
      </c>
      <c r="EJ42" s="128">
        <v>42810</v>
      </c>
      <c r="EK42" s="128">
        <v>42781</v>
      </c>
      <c r="EL42" s="589">
        <f t="shared" si="87"/>
        <v>-29</v>
      </c>
      <c r="EM42" s="128">
        <v>42796</v>
      </c>
      <c r="EN42" s="128">
        <v>42786</v>
      </c>
      <c r="EO42" s="589">
        <f t="shared" si="88"/>
        <v>-10</v>
      </c>
      <c r="EP42" s="128">
        <v>42860</v>
      </c>
      <c r="EQ42" s="128">
        <v>42893</v>
      </c>
      <c r="ER42" s="589">
        <f t="shared" si="89"/>
        <v>33</v>
      </c>
      <c r="ES42" s="128">
        <v>42899</v>
      </c>
      <c r="ET42" s="644">
        <v>42978</v>
      </c>
      <c r="EU42" s="593">
        <f t="shared" si="90"/>
        <v>79</v>
      </c>
      <c r="EV42" s="128">
        <v>42978</v>
      </c>
      <c r="EW42" s="128">
        <v>43054</v>
      </c>
      <c r="EX42" s="589">
        <f t="shared" si="91"/>
        <v>76</v>
      </c>
      <c r="EY42" s="600">
        <v>43054</v>
      </c>
      <c r="EZ42" s="600">
        <f ca="1">IF(EY42&lt;TODAY(),TODAY(),EY42)</f>
        <v>43163</v>
      </c>
      <c r="FA42" s="596">
        <f t="shared" ca="1" si="92"/>
        <v>109</v>
      </c>
      <c r="FB42" s="600">
        <v>43047</v>
      </c>
      <c r="FC42" s="600">
        <f ca="1">IF(FB42&lt;TODAY(),TODAY(),FB42)</f>
        <v>43163</v>
      </c>
      <c r="FD42" s="596">
        <f t="shared" ca="1" si="93"/>
        <v>116</v>
      </c>
      <c r="FE42" s="600">
        <v>43167</v>
      </c>
      <c r="FF42" s="600">
        <f ca="1">IF(FE42&lt;TODAY(),TODAY(),FE42)</f>
        <v>43167</v>
      </c>
      <c r="FG42" s="596">
        <f t="shared" ca="1" si="94"/>
        <v>0</v>
      </c>
      <c r="FH42" s="600">
        <v>43200</v>
      </c>
      <c r="FI42" s="600">
        <f ca="1">IF(FH42&lt;TODAY(),TODAY(),FH42)</f>
        <v>43200</v>
      </c>
      <c r="FJ42" s="596">
        <f t="shared" ca="1" si="95"/>
        <v>0</v>
      </c>
      <c r="FK42" s="602"/>
      <c r="FL42" s="602"/>
      <c r="FM42" s="602"/>
      <c r="FN42" s="600">
        <v>43206</v>
      </c>
      <c r="FO42" s="600">
        <f t="shared" si="111"/>
        <v>43271</v>
      </c>
      <c r="FP42" s="598">
        <f t="shared" si="27"/>
        <v>14</v>
      </c>
      <c r="FQ42" s="600">
        <v>43236</v>
      </c>
      <c r="FR42" s="600">
        <f t="shared" si="112"/>
        <v>43296</v>
      </c>
      <c r="FS42" s="627"/>
      <c r="FT42" s="627"/>
      <c r="FU42" s="627">
        <v>11272.51</v>
      </c>
      <c r="FV42" s="627"/>
      <c r="FW42" s="628">
        <f t="shared" si="96"/>
        <v>1.9666666666666666</v>
      </c>
      <c r="FX42" s="628">
        <f t="shared" si="29"/>
        <v>2</v>
      </c>
      <c r="FY42" s="624" t="s">
        <v>814</v>
      </c>
      <c r="FZ42" s="641" t="s">
        <v>869</v>
      </c>
      <c r="GA42" s="641" t="s">
        <v>819</v>
      </c>
      <c r="GB42" s="641" t="s">
        <v>823</v>
      </c>
      <c r="GC42" s="114"/>
      <c r="GD42" s="118"/>
      <c r="GE42" s="10">
        <f t="shared" si="109"/>
        <v>2722212.2295052204</v>
      </c>
      <c r="GF42" s="70">
        <f t="shared" si="105"/>
        <v>2774522</v>
      </c>
      <c r="GG42" s="12">
        <f t="shared" si="30"/>
        <v>52309.770494779572</v>
      </c>
      <c r="GH42" s="23">
        <f t="shared" si="31"/>
        <v>2127.4398846767267</v>
      </c>
      <c r="GI42" s="23">
        <f t="shared" si="32"/>
        <v>138726.1</v>
      </c>
      <c r="GJ42" s="10">
        <v>2475597.5350000001</v>
      </c>
      <c r="GK42" s="11">
        <v>2036370.9416817785</v>
      </c>
      <c r="GL42" s="12">
        <f t="shared" si="97"/>
        <v>-439226.59331822162</v>
      </c>
      <c r="GM42" s="137">
        <f t="shared" si="101"/>
        <v>0.74936682118833287</v>
      </c>
      <c r="GN42" s="139">
        <v>0.39772600000000002</v>
      </c>
      <c r="GO42" s="10">
        <v>819282.73457759398</v>
      </c>
      <c r="GP42" s="11">
        <v>803098</v>
      </c>
      <c r="GQ42" s="23">
        <f t="shared" si="35"/>
        <v>40154.9</v>
      </c>
      <c r="GR42" s="38">
        <f t="shared" si="36"/>
        <v>-16184.734577593976</v>
      </c>
      <c r="GS42" s="10">
        <v>1502929.4949276266</v>
      </c>
      <c r="GT42" s="11">
        <f>GV42+GU42</f>
        <v>1544668</v>
      </c>
      <c r="GU42" s="13">
        <v>339371</v>
      </c>
      <c r="GV42" s="13">
        <v>1205297</v>
      </c>
      <c r="GW42" s="38">
        <f t="shared" si="38"/>
        <v>41738.505072373431</v>
      </c>
      <c r="GX42" s="23">
        <f t="shared" si="39"/>
        <v>77233.399999999994</v>
      </c>
      <c r="GY42" s="11"/>
      <c r="GZ42" s="22">
        <v>400000</v>
      </c>
      <c r="HA42" s="11">
        <v>400000</v>
      </c>
      <c r="HB42" s="70"/>
      <c r="HC42" s="41">
        <f t="shared" si="40"/>
        <v>0.14416897757523639</v>
      </c>
      <c r="HD42" s="329"/>
      <c r="HE42" s="11">
        <f>11757+14999</f>
        <v>26756</v>
      </c>
      <c r="HF42" s="24">
        <f t="shared" si="62"/>
        <v>0</v>
      </c>
      <c r="HG42" s="23">
        <f t="shared" si="41"/>
        <v>20000</v>
      </c>
      <c r="HH42" s="84">
        <f t="shared" si="102"/>
        <v>60154.9</v>
      </c>
      <c r="HI42" s="24">
        <f t="shared" si="103"/>
        <v>0</v>
      </c>
      <c r="HJ42" s="51">
        <v>5.59</v>
      </c>
      <c r="HK42" s="51">
        <v>5.49</v>
      </c>
      <c r="HL42" s="40">
        <v>0</v>
      </c>
      <c r="HM42" s="40">
        <v>0</v>
      </c>
      <c r="HN42" s="23">
        <f t="shared" si="107"/>
        <v>60154.9</v>
      </c>
      <c r="HO42" s="40">
        <v>0</v>
      </c>
      <c r="HP42" s="23">
        <f t="shared" si="108"/>
        <v>60154.9</v>
      </c>
      <c r="HQ42" s="53">
        <f t="shared" si="45"/>
        <v>0.43362352145702937</v>
      </c>
      <c r="HR42" s="40">
        <v>0</v>
      </c>
      <c r="HS42" s="40"/>
      <c r="HT42" s="11">
        <v>0</v>
      </c>
      <c r="HU42" s="42">
        <f t="shared" si="98"/>
        <v>2774522</v>
      </c>
      <c r="HV42" s="296">
        <v>131447</v>
      </c>
      <c r="HW42" s="296">
        <f t="shared" si="99"/>
        <v>105157</v>
      </c>
      <c r="HX42" s="119">
        <v>41936</v>
      </c>
      <c r="HY42" s="245">
        <v>13352</v>
      </c>
      <c r="HZ42" s="245"/>
      <c r="IA42" s="119"/>
      <c r="IB42" s="119"/>
      <c r="IC42" s="245">
        <v>6171</v>
      </c>
      <c r="ID42" s="119">
        <v>42066</v>
      </c>
      <c r="IE42" s="245">
        <v>12860</v>
      </c>
      <c r="IF42" s="119">
        <v>42121</v>
      </c>
      <c r="IG42" s="245">
        <v>13828</v>
      </c>
      <c r="IH42" s="120"/>
      <c r="II42" s="350">
        <v>19512</v>
      </c>
      <c r="IJ42" s="341"/>
      <c r="IK42" s="341"/>
      <c r="IL42" s="128">
        <v>42717</v>
      </c>
      <c r="IM42" s="245"/>
      <c r="IN42" s="128">
        <v>42717</v>
      </c>
      <c r="IO42" s="245">
        <v>19717</v>
      </c>
      <c r="IP42" s="119">
        <v>42964</v>
      </c>
      <c r="IQ42" s="120">
        <v>6573</v>
      </c>
      <c r="IR42" s="120"/>
      <c r="IS42" s="120"/>
      <c r="IT42" s="119">
        <v>43083</v>
      </c>
      <c r="IU42" s="120">
        <v>13144</v>
      </c>
      <c r="IV42" s="289"/>
      <c r="IW42" s="289"/>
      <c r="IX42" s="289"/>
      <c r="IY42" s="289"/>
      <c r="IZ42" s="245">
        <v>12860</v>
      </c>
      <c r="JA42" s="128"/>
      <c r="JB42" s="120"/>
      <c r="JC42" s="128"/>
      <c r="JD42" s="128"/>
      <c r="JE42" s="120"/>
    </row>
    <row r="43" spans="1:265" s="33" customFormat="1" ht="24.95" customHeight="1">
      <c r="A43" s="6" t="s">
        <v>263</v>
      </c>
      <c r="B43" s="7" t="s">
        <v>40</v>
      </c>
      <c r="C43" s="7" t="s">
        <v>119</v>
      </c>
      <c r="D43" s="7">
        <v>2015</v>
      </c>
      <c r="E43" s="7" t="s">
        <v>267</v>
      </c>
      <c r="F43" s="7" t="s">
        <v>423</v>
      </c>
      <c r="G43" s="7" t="s">
        <v>519</v>
      </c>
      <c r="H43" s="7" t="s">
        <v>182</v>
      </c>
      <c r="I43" s="56"/>
      <c r="J43" s="56"/>
      <c r="K43" s="275"/>
      <c r="L43" s="173" t="s">
        <v>64</v>
      </c>
      <c r="M43" s="109" t="s">
        <v>143</v>
      </c>
      <c r="N43" s="110"/>
      <c r="O43" s="219">
        <v>1263</v>
      </c>
      <c r="P43" s="219">
        <v>126500</v>
      </c>
      <c r="Q43" s="219">
        <v>126500</v>
      </c>
      <c r="R43" s="219">
        <f t="shared" si="106"/>
        <v>7027.7777777777774</v>
      </c>
      <c r="S43" s="219">
        <f t="shared" si="66"/>
        <v>100.15835312747427</v>
      </c>
      <c r="T43" s="225">
        <f t="shared" si="67"/>
        <v>100.15835312747427</v>
      </c>
      <c r="U43" s="225">
        <f t="shared" si="69"/>
        <v>86.456710134230022</v>
      </c>
      <c r="V43" s="225">
        <f t="shared" si="70"/>
        <v>7027.7777777777774</v>
      </c>
      <c r="W43" s="219">
        <f t="shared" si="71"/>
        <v>70.166666666666671</v>
      </c>
      <c r="X43" s="220"/>
      <c r="Y43" s="221">
        <f t="shared" si="72"/>
        <v>1.158479809976247</v>
      </c>
      <c r="Z43" s="220"/>
      <c r="AA43" s="222"/>
      <c r="AB43" s="223"/>
      <c r="AC43" s="20" t="s">
        <v>16</v>
      </c>
      <c r="AD43" s="345">
        <f t="shared" si="75"/>
        <v>18</v>
      </c>
      <c r="AE43" s="8"/>
      <c r="AF43" s="7">
        <v>18</v>
      </c>
      <c r="AG43" s="56"/>
      <c r="AH43" s="56"/>
      <c r="AI43" s="9">
        <v>1509.87</v>
      </c>
      <c r="AJ43" s="466">
        <v>1463.16</v>
      </c>
      <c r="AK43" s="9">
        <f t="shared" si="1"/>
        <v>81.286666666666676</v>
      </c>
      <c r="AL43" s="81">
        <v>0</v>
      </c>
      <c r="AM43" s="81">
        <f>6/AD43</f>
        <v>0.33333333333333331</v>
      </c>
      <c r="AN43" s="81">
        <f>6/AD43</f>
        <v>0.33333333333333331</v>
      </c>
      <c r="AO43" s="81">
        <f>6/AD43</f>
        <v>0.33333333333333331</v>
      </c>
      <c r="AP43" s="81">
        <v>0</v>
      </c>
      <c r="AQ43" s="9"/>
      <c r="AR43" s="79">
        <v>0</v>
      </c>
      <c r="AS43" s="81">
        <v>0</v>
      </c>
      <c r="AT43" s="62">
        <v>3</v>
      </c>
      <c r="AU43" s="59" t="s">
        <v>621</v>
      </c>
      <c r="AV43" s="7" t="s">
        <v>125</v>
      </c>
      <c r="AW43" s="196">
        <v>42047</v>
      </c>
      <c r="AX43" s="56"/>
      <c r="AY43" s="113" t="s">
        <v>261</v>
      </c>
      <c r="AZ43" s="113" t="s">
        <v>299</v>
      </c>
      <c r="BA43" s="36"/>
      <c r="BB43" s="216">
        <v>42298</v>
      </c>
      <c r="BC43" s="102"/>
      <c r="BD43" s="102"/>
      <c r="BE43" s="216"/>
      <c r="BF43" s="102"/>
      <c r="BG43" s="171">
        <v>42885</v>
      </c>
      <c r="BH43" s="214">
        <v>42929</v>
      </c>
      <c r="BI43" s="172">
        <v>43013</v>
      </c>
      <c r="BJ43" s="172">
        <v>42957</v>
      </c>
      <c r="BK43" s="323">
        <f>BI43</f>
        <v>43013</v>
      </c>
      <c r="BL43" s="322">
        <f t="shared" si="2"/>
        <v>43743</v>
      </c>
      <c r="BM43" s="322">
        <f t="shared" si="3"/>
        <v>44109</v>
      </c>
      <c r="BN43" s="322" t="str">
        <f t="shared" si="61"/>
        <v>non</v>
      </c>
      <c r="BO43" s="171">
        <v>42920</v>
      </c>
      <c r="BP43" s="37" t="s">
        <v>693</v>
      </c>
      <c r="BQ43" s="103"/>
      <c r="BR43" s="104"/>
      <c r="BS43" s="104"/>
      <c r="BT43" s="104"/>
      <c r="BU43" s="167" t="s">
        <v>149</v>
      </c>
      <c r="BV43" s="174"/>
      <c r="BW43" s="268"/>
      <c r="BX43" s="168"/>
      <c r="BY43" s="174">
        <f t="shared" si="110"/>
        <v>547</v>
      </c>
      <c r="BZ43" s="268"/>
      <c r="CA43" s="268"/>
      <c r="CB43" s="268" t="s">
        <v>177</v>
      </c>
      <c r="CC43" s="682"/>
      <c r="CD43" s="509"/>
      <c r="CE43" s="492">
        <v>43122</v>
      </c>
      <c r="CF43" s="493">
        <v>2018</v>
      </c>
      <c r="CG43" s="499">
        <f t="shared" si="76"/>
        <v>27.466666666666665</v>
      </c>
      <c r="CH43" s="273">
        <v>15</v>
      </c>
      <c r="CI43" s="273">
        <f t="shared" si="100"/>
        <v>16</v>
      </c>
      <c r="CJ43" s="257">
        <f t="shared" si="77"/>
        <v>15</v>
      </c>
      <c r="CK43" s="257">
        <f t="shared" si="78"/>
        <v>16</v>
      </c>
      <c r="CL43" s="257">
        <f t="shared" si="79"/>
        <v>0</v>
      </c>
      <c r="CM43" s="257">
        <f t="shared" si="80"/>
        <v>0</v>
      </c>
      <c r="CN43" s="263"/>
      <c r="CO43" s="247">
        <f t="shared" si="104"/>
        <v>0</v>
      </c>
      <c r="CP43" s="258"/>
      <c r="CQ43" s="699">
        <f t="shared" si="81"/>
        <v>43577</v>
      </c>
      <c r="CR43" s="506">
        <f>DATE(YEAR(CE43),MONTH(CE43)+CH43,DAY(CE43))</f>
        <v>43577</v>
      </c>
      <c r="CS43" s="388">
        <f t="shared" si="73"/>
        <v>731</v>
      </c>
      <c r="CT43" s="258"/>
      <c r="CU43" s="258"/>
      <c r="CV43" s="651">
        <f>DATE(YEAR(CR43),MONTH(CR43)+1,DAY(CR43))</f>
        <v>43607</v>
      </c>
      <c r="CW43" s="506">
        <f>CV43</f>
        <v>43607</v>
      </c>
      <c r="CX43" s="654"/>
      <c r="CY43" s="123"/>
      <c r="CZ43" s="127"/>
      <c r="DA43" s="127"/>
      <c r="DB43" s="127"/>
      <c r="DC43" s="127"/>
      <c r="DD43" s="127"/>
      <c r="DE43" s="56"/>
      <c r="DF43" s="56"/>
      <c r="DG43" s="56"/>
      <c r="DH43" s="56"/>
      <c r="DI43" s="56"/>
      <c r="DJ43" s="56"/>
      <c r="DK43" s="56"/>
      <c r="DL43" s="56"/>
      <c r="DM43" s="56"/>
      <c r="DN43" s="56"/>
      <c r="DO43" s="56"/>
      <c r="DP43" s="56"/>
      <c r="DQ43" s="56"/>
      <c r="DR43" s="56"/>
      <c r="DS43" s="128">
        <v>41963</v>
      </c>
      <c r="DT43" s="128">
        <v>41955</v>
      </c>
      <c r="DU43" s="128">
        <v>41955</v>
      </c>
      <c r="DV43" s="589">
        <f t="shared" si="82"/>
        <v>0</v>
      </c>
      <c r="DW43" s="128">
        <v>42041</v>
      </c>
      <c r="DX43" s="128">
        <v>42012</v>
      </c>
      <c r="DY43" s="589">
        <f t="shared" si="83"/>
        <v>-29</v>
      </c>
      <c r="DZ43" s="128">
        <v>42033</v>
      </c>
      <c r="EA43" s="128">
        <v>42033</v>
      </c>
      <c r="EB43" s="589">
        <f t="shared" si="84"/>
        <v>0</v>
      </c>
      <c r="EC43" s="128">
        <v>42109</v>
      </c>
      <c r="ED43" s="128">
        <v>42109</v>
      </c>
      <c r="EE43" s="589">
        <f t="shared" si="85"/>
        <v>0</v>
      </c>
      <c r="EF43" s="128">
        <v>42174</v>
      </c>
      <c r="EG43" s="128">
        <v>42174</v>
      </c>
      <c r="EH43" s="589">
        <f t="shared" si="86"/>
        <v>0</v>
      </c>
      <c r="EI43" s="128">
        <v>42472</v>
      </c>
      <c r="EJ43" s="128">
        <v>42502</v>
      </c>
      <c r="EK43" s="128">
        <v>43088</v>
      </c>
      <c r="EL43" s="589">
        <f t="shared" si="87"/>
        <v>586</v>
      </c>
      <c r="EM43" s="128">
        <v>43112</v>
      </c>
      <c r="EN43" s="128">
        <v>43122</v>
      </c>
      <c r="EO43" s="589">
        <f t="shared" si="88"/>
        <v>10</v>
      </c>
      <c r="EP43" s="600"/>
      <c r="EQ43" s="600">
        <f ca="1">IF(EP43&lt;TODAY(),TODAY(),EP43)</f>
        <v>43163</v>
      </c>
      <c r="ER43" s="596" t="str">
        <f t="shared" ca="1" si="89"/>
        <v>0</v>
      </c>
      <c r="ES43" s="600"/>
      <c r="ET43" s="622">
        <f ca="1">IF(ES43&lt;TODAY(),TODAY(),ES43)</f>
        <v>43163</v>
      </c>
      <c r="EU43" s="597" t="str">
        <f t="shared" ca="1" si="90"/>
        <v>0</v>
      </c>
      <c r="EV43" s="600"/>
      <c r="EW43" s="600">
        <f ca="1">IF(EV43&lt;TODAY(),TODAY(),EV43)</f>
        <v>43163</v>
      </c>
      <c r="EX43" s="596" t="str">
        <f t="shared" ca="1" si="91"/>
        <v>0</v>
      </c>
      <c r="EY43" s="600"/>
      <c r="EZ43" s="600">
        <f ca="1">IF(EY43&lt;TODAY(),TODAY(),EY43)</f>
        <v>43163</v>
      </c>
      <c r="FA43" s="596" t="str">
        <f t="shared" ca="1" si="92"/>
        <v>0</v>
      </c>
      <c r="FB43" s="639"/>
      <c r="FC43" s="639"/>
      <c r="FD43" s="596" t="str">
        <f t="shared" si="93"/>
        <v>0</v>
      </c>
      <c r="FE43" s="639"/>
      <c r="FF43" s="600"/>
      <c r="FG43" s="596" t="str">
        <f t="shared" si="94"/>
        <v>0</v>
      </c>
      <c r="FH43" s="600"/>
      <c r="FI43" s="600"/>
      <c r="FJ43" s="596" t="str">
        <f t="shared" si="95"/>
        <v>0</v>
      </c>
      <c r="FK43" s="602"/>
      <c r="FL43" s="602"/>
      <c r="FM43" s="602"/>
      <c r="FN43" s="600">
        <v>43540</v>
      </c>
      <c r="FO43" s="600">
        <f t="shared" si="111"/>
        <v>43577</v>
      </c>
      <c r="FP43" s="598">
        <f t="shared" si="27"/>
        <v>13.933333333333334</v>
      </c>
      <c r="FQ43" s="600">
        <v>43571</v>
      </c>
      <c r="FR43" s="600">
        <f t="shared" si="112"/>
        <v>43607</v>
      </c>
      <c r="FS43" s="627"/>
      <c r="FT43" s="627"/>
      <c r="FU43" s="627">
        <v>110043</v>
      </c>
      <c r="FV43" s="627"/>
      <c r="FW43" s="628">
        <f t="shared" si="96"/>
        <v>18.899999999999999</v>
      </c>
      <c r="FX43" s="628">
        <f t="shared" si="29"/>
        <v>1.2</v>
      </c>
      <c r="FY43" s="624" t="s">
        <v>816</v>
      </c>
      <c r="FZ43" s="641"/>
      <c r="GA43" s="641" t="s">
        <v>875</v>
      </c>
      <c r="GB43" s="641" t="s">
        <v>822</v>
      </c>
      <c r="GC43" s="114"/>
      <c r="GD43" s="118"/>
      <c r="GE43" s="10">
        <f t="shared" si="109"/>
        <v>3031790</v>
      </c>
      <c r="GF43" s="96">
        <f t="shared" si="105"/>
        <v>2892490.59</v>
      </c>
      <c r="GG43" s="10">
        <f t="shared" si="30"/>
        <v>-139299.41000000015</v>
      </c>
      <c r="GH43" s="10">
        <f t="shared" si="31"/>
        <v>1915.7216117943929</v>
      </c>
      <c r="GI43" s="502">
        <f t="shared" si="32"/>
        <v>160693.92166666666</v>
      </c>
      <c r="GJ43" s="10">
        <v>2583163.1920000003</v>
      </c>
      <c r="GK43" s="10">
        <v>2614548</v>
      </c>
      <c r="GL43" s="10">
        <f t="shared" si="97"/>
        <v>31384.807999999728</v>
      </c>
      <c r="GM43" s="10">
        <f t="shared" si="101"/>
        <v>0.92289099132384733</v>
      </c>
      <c r="GN43" s="329">
        <v>0.39750000000000002</v>
      </c>
      <c r="GO43" s="10">
        <v>883707</v>
      </c>
      <c r="GP43" s="10">
        <v>866175.59</v>
      </c>
      <c r="GQ43" s="10">
        <f t="shared" si="35"/>
        <v>48120.866111111107</v>
      </c>
      <c r="GR43" s="10">
        <f t="shared" si="36"/>
        <v>-17531.410000000033</v>
      </c>
      <c r="GS43" s="502">
        <v>1788083</v>
      </c>
      <c r="GT43" s="10">
        <f>GU43+GV43</f>
        <v>1657979</v>
      </c>
      <c r="GU43" s="10">
        <v>261692</v>
      </c>
      <c r="GV43" s="10">
        <v>1396287</v>
      </c>
      <c r="GW43" s="10">
        <f t="shared" si="38"/>
        <v>-130104</v>
      </c>
      <c r="GX43" s="502">
        <f t="shared" si="39"/>
        <v>92109.944444444438</v>
      </c>
      <c r="GY43" s="10"/>
      <c r="GZ43" s="10">
        <v>360000</v>
      </c>
      <c r="HA43" s="10">
        <v>360000</v>
      </c>
      <c r="HB43" s="96"/>
      <c r="HC43" s="502">
        <f t="shared" si="40"/>
        <v>0.12446021475215932</v>
      </c>
      <c r="HD43" s="96"/>
      <c r="HE43" s="11">
        <v>8336</v>
      </c>
      <c r="HF43" s="24">
        <f t="shared" si="62"/>
        <v>0</v>
      </c>
      <c r="HG43" s="23">
        <f t="shared" si="41"/>
        <v>20000</v>
      </c>
      <c r="HH43" s="84">
        <f t="shared" si="102"/>
        <v>68120.8661111111</v>
      </c>
      <c r="HI43" s="24">
        <f t="shared" si="103"/>
        <v>0</v>
      </c>
      <c r="HJ43" s="51">
        <v>5.19</v>
      </c>
      <c r="HK43" s="51">
        <v>5.13</v>
      </c>
      <c r="HL43" s="40">
        <v>0</v>
      </c>
      <c r="HM43" s="40">
        <v>0</v>
      </c>
      <c r="HN43" s="23">
        <f t="shared" si="107"/>
        <v>68120.8661111111</v>
      </c>
      <c r="HO43" s="40">
        <v>0</v>
      </c>
      <c r="HP43" s="23">
        <f t="shared" si="108"/>
        <v>68120.8661111111</v>
      </c>
      <c r="HQ43" s="53">
        <f t="shared" si="45"/>
        <v>0.42391688126459898</v>
      </c>
      <c r="HR43" s="40">
        <v>0</v>
      </c>
      <c r="HS43" s="40"/>
      <c r="HT43" s="11">
        <v>0</v>
      </c>
      <c r="HU43" s="42">
        <f t="shared" si="98"/>
        <v>2892490.59</v>
      </c>
      <c r="HV43" s="296">
        <v>143558</v>
      </c>
      <c r="HW43" s="296">
        <f t="shared" si="99"/>
        <v>93313</v>
      </c>
      <c r="HX43" s="119">
        <v>41990</v>
      </c>
      <c r="HY43" s="245">
        <v>14522</v>
      </c>
      <c r="HZ43" s="245"/>
      <c r="IA43" s="119"/>
      <c r="IB43" s="119">
        <v>41992</v>
      </c>
      <c r="IC43" s="245"/>
      <c r="ID43" s="119"/>
      <c r="IE43" s="245">
        <v>21783</v>
      </c>
      <c r="IF43" s="119">
        <v>42086</v>
      </c>
      <c r="IG43" s="245">
        <v>13917</v>
      </c>
      <c r="IH43" s="120">
        <v>42202</v>
      </c>
      <c r="II43" s="350">
        <v>21557</v>
      </c>
      <c r="IJ43" s="341"/>
      <c r="IK43" s="341"/>
      <c r="IL43" s="128">
        <v>42989</v>
      </c>
      <c r="IM43" s="245">
        <v>7178</v>
      </c>
      <c r="IN43" s="128">
        <v>43092</v>
      </c>
      <c r="IO43" s="245">
        <v>14356</v>
      </c>
      <c r="IP43" s="327"/>
      <c r="IQ43" s="327"/>
      <c r="IR43" s="327"/>
      <c r="IS43" s="327"/>
      <c r="IT43" s="289"/>
      <c r="IU43" s="289"/>
      <c r="IV43" s="289"/>
      <c r="IW43" s="289"/>
      <c r="IX43" s="289"/>
      <c r="IY43" s="289"/>
      <c r="IZ43" s="245">
        <v>21783</v>
      </c>
      <c r="JA43" s="128"/>
      <c r="JB43" s="120"/>
      <c r="JC43" s="128"/>
      <c r="JD43" s="128"/>
      <c r="JE43" s="120"/>
    </row>
    <row r="44" spans="1:265" ht="24.95" customHeight="1">
      <c r="A44" s="6" t="s">
        <v>379</v>
      </c>
      <c r="B44" s="7" t="s">
        <v>167</v>
      </c>
      <c r="C44" s="7" t="s">
        <v>119</v>
      </c>
      <c r="D44" s="7">
        <v>2015</v>
      </c>
      <c r="E44" s="7" t="s">
        <v>266</v>
      </c>
      <c r="F44" s="7" t="s">
        <v>419</v>
      </c>
      <c r="G44" s="7"/>
      <c r="H44" s="7"/>
      <c r="I44" s="56"/>
      <c r="J44" s="56"/>
      <c r="K44" s="275" t="s">
        <v>623</v>
      </c>
      <c r="L44" s="173" t="s">
        <v>63</v>
      </c>
      <c r="M44" s="504"/>
      <c r="N44" s="110"/>
      <c r="O44" s="219">
        <v>13077</v>
      </c>
      <c r="P44" s="219">
        <v>590200</v>
      </c>
      <c r="Q44" s="219">
        <v>590200</v>
      </c>
      <c r="R44" s="219">
        <f t="shared" si="106"/>
        <v>12830.434782608696</v>
      </c>
      <c r="S44" s="219">
        <f t="shared" si="66"/>
        <v>45.132675690142996</v>
      </c>
      <c r="T44" s="225">
        <f t="shared" si="67"/>
        <v>45.132675690142996</v>
      </c>
      <c r="U44" s="225">
        <f t="shared" si="69"/>
        <v>146.36735179747637</v>
      </c>
      <c r="V44" s="225">
        <f t="shared" si="70"/>
        <v>12830.434782608696</v>
      </c>
      <c r="W44" s="219">
        <f t="shared" si="71"/>
        <v>284.28260869565219</v>
      </c>
      <c r="X44" s="220"/>
      <c r="Y44" s="221">
        <f t="shared" si="72"/>
        <v>0.308352068517244</v>
      </c>
      <c r="Z44" s="220"/>
      <c r="AA44" s="222"/>
      <c r="AB44" s="223"/>
      <c r="AC44" s="20" t="s">
        <v>15</v>
      </c>
      <c r="AD44" s="345">
        <f t="shared" si="75"/>
        <v>46</v>
      </c>
      <c r="AE44" s="7">
        <v>46</v>
      </c>
      <c r="AF44" s="8"/>
      <c r="AG44" s="67"/>
      <c r="AH44" s="67"/>
      <c r="AI44" s="9">
        <v>4286.38</v>
      </c>
      <c r="AJ44" s="466">
        <v>4032.32</v>
      </c>
      <c r="AK44" s="9"/>
      <c r="AL44" s="81"/>
      <c r="AM44" s="81"/>
      <c r="AN44" s="81">
        <f>36/AE44</f>
        <v>0.78260869565217395</v>
      </c>
      <c r="AO44" s="81">
        <f>10/AD44</f>
        <v>0.21739130434782608</v>
      </c>
      <c r="AP44" s="81"/>
      <c r="AQ44" s="9"/>
      <c r="AR44" s="79"/>
      <c r="AS44" s="81"/>
      <c r="AT44" s="62">
        <v>2</v>
      </c>
      <c r="AU44" s="59" t="s">
        <v>621</v>
      </c>
      <c r="AV44" s="7"/>
      <c r="AW44" s="196">
        <v>41921</v>
      </c>
      <c r="AX44" s="56"/>
      <c r="AY44" s="113" t="s">
        <v>12</v>
      </c>
      <c r="AZ44" s="113" t="s">
        <v>465</v>
      </c>
      <c r="BA44" s="36"/>
      <c r="BB44" s="216">
        <v>42304</v>
      </c>
      <c r="BC44" s="102">
        <v>42335</v>
      </c>
      <c r="BD44" s="102">
        <v>42600</v>
      </c>
      <c r="BE44" s="216">
        <v>42613</v>
      </c>
      <c r="BF44" s="102">
        <v>42614</v>
      </c>
      <c r="BG44" s="171">
        <v>42614</v>
      </c>
      <c r="BH44" s="214">
        <v>42620</v>
      </c>
      <c r="BI44" s="172">
        <v>42711</v>
      </c>
      <c r="BJ44" s="172">
        <v>42660</v>
      </c>
      <c r="BK44" s="323">
        <f>BH44</f>
        <v>42620</v>
      </c>
      <c r="BL44" s="322">
        <f t="shared" si="2"/>
        <v>43350</v>
      </c>
      <c r="BM44" s="322">
        <f t="shared" si="3"/>
        <v>43715</v>
      </c>
      <c r="BN44" s="322" t="str">
        <f>IF(CW44&gt;BM44,"oui","non")</f>
        <v>non</v>
      </c>
      <c r="BO44" s="171">
        <v>42627</v>
      </c>
      <c r="BP44" s="37" t="s">
        <v>646</v>
      </c>
      <c r="BQ44" s="393">
        <v>42747</v>
      </c>
      <c r="BR44" s="416">
        <v>42753</v>
      </c>
      <c r="BS44" s="416">
        <v>42753</v>
      </c>
      <c r="BT44" s="416">
        <v>42912</v>
      </c>
      <c r="BU44" s="505"/>
      <c r="BV44" s="333">
        <v>42725</v>
      </c>
      <c r="BW44" s="268" t="s">
        <v>612</v>
      </c>
      <c r="BX44" s="168">
        <v>9447490.1300000008</v>
      </c>
      <c r="BY44" s="305">
        <f t="shared" si="110"/>
        <v>43272</v>
      </c>
      <c r="BZ44" s="276">
        <f>DATE(YEAR(BV44),MONTH(BV44)+24,DAY(BV44))</f>
        <v>43455</v>
      </c>
      <c r="CA44" s="268"/>
      <c r="CB44" s="276">
        <v>43389</v>
      </c>
      <c r="CC44" s="681">
        <f>(CW44-CB44)/30</f>
        <v>0.46666666666666667</v>
      </c>
      <c r="CD44" s="509"/>
      <c r="CE44" s="383">
        <v>42782</v>
      </c>
      <c r="CF44" s="376">
        <v>2017</v>
      </c>
      <c r="CG44" s="496">
        <f t="shared" si="76"/>
        <v>15.933333333333334</v>
      </c>
      <c r="CH44" s="355">
        <v>19</v>
      </c>
      <c r="CI44" s="355">
        <f t="shared" si="100"/>
        <v>20</v>
      </c>
      <c r="CJ44" s="257">
        <f t="shared" si="77"/>
        <v>18</v>
      </c>
      <c r="CK44" s="257">
        <f t="shared" si="78"/>
        <v>20</v>
      </c>
      <c r="CL44" s="257" t="e">
        <f t="shared" si="79"/>
        <v>#NUM!</v>
      </c>
      <c r="CM44" s="257">
        <f t="shared" si="80"/>
        <v>0</v>
      </c>
      <c r="CN44" s="63">
        <v>25851.972027750006</v>
      </c>
      <c r="CO44" s="737">
        <f t="shared" si="104"/>
        <v>-25851.972027750006</v>
      </c>
      <c r="CP44" s="255">
        <v>42887</v>
      </c>
      <c r="CQ44" s="735">
        <f t="shared" si="81"/>
        <v>43359</v>
      </c>
      <c r="CR44" s="446">
        <v>43357</v>
      </c>
      <c r="CS44" s="458">
        <v>43373</v>
      </c>
      <c r="CT44" s="198"/>
      <c r="CU44" s="198"/>
      <c r="CV44" s="650">
        <v>43387</v>
      </c>
      <c r="CW44" s="446">
        <v>43403</v>
      </c>
      <c r="CX44" s="458"/>
      <c r="CY44" s="123"/>
      <c r="CZ44" s="127"/>
      <c r="DA44" s="127"/>
      <c r="DB44" s="127"/>
      <c r="DC44" s="127"/>
      <c r="DD44" s="127"/>
      <c r="DE44" s="56"/>
      <c r="DF44" s="56"/>
      <c r="DG44" s="56"/>
      <c r="DH44" s="56"/>
      <c r="DI44" s="56"/>
      <c r="DJ44" s="56"/>
      <c r="DK44" s="56"/>
      <c r="DL44" s="56"/>
      <c r="DM44" s="56"/>
      <c r="DN44" s="56"/>
      <c r="DO44" s="56"/>
      <c r="DP44" s="56"/>
      <c r="DQ44" s="56"/>
      <c r="DR44" s="56"/>
      <c r="DS44" s="128">
        <v>41130</v>
      </c>
      <c r="DT44" s="128">
        <v>41131</v>
      </c>
      <c r="DU44" s="128">
        <v>41899</v>
      </c>
      <c r="DV44" s="589">
        <f t="shared" si="82"/>
        <v>768</v>
      </c>
      <c r="DW44" s="128">
        <v>42041</v>
      </c>
      <c r="DX44" s="128">
        <v>42040</v>
      </c>
      <c r="DY44" s="589">
        <f t="shared" si="83"/>
        <v>-1</v>
      </c>
      <c r="DZ44" s="128">
        <v>42075</v>
      </c>
      <c r="EA44" s="128">
        <v>42101</v>
      </c>
      <c r="EB44" s="589">
        <f t="shared" si="84"/>
        <v>26</v>
      </c>
      <c r="EC44" s="128">
        <v>42201</v>
      </c>
      <c r="ED44" s="128">
        <v>42226</v>
      </c>
      <c r="EE44" s="589">
        <f t="shared" si="85"/>
        <v>25</v>
      </c>
      <c r="EF44" s="128">
        <v>42296</v>
      </c>
      <c r="EG44" s="128">
        <v>42339</v>
      </c>
      <c r="EH44" s="589">
        <f t="shared" si="86"/>
        <v>43</v>
      </c>
      <c r="EI44" s="128">
        <v>42514</v>
      </c>
      <c r="EJ44" s="128">
        <v>42762</v>
      </c>
      <c r="EK44" s="128">
        <v>42773</v>
      </c>
      <c r="EL44" s="589">
        <f t="shared" si="87"/>
        <v>11</v>
      </c>
      <c r="EM44" s="128">
        <v>42782</v>
      </c>
      <c r="EN44" s="128">
        <v>42782</v>
      </c>
      <c r="EO44" s="589">
        <f t="shared" si="88"/>
        <v>0</v>
      </c>
      <c r="EP44" s="128">
        <v>42909</v>
      </c>
      <c r="EQ44" s="128">
        <v>42909</v>
      </c>
      <c r="ER44" s="589">
        <f t="shared" si="89"/>
        <v>0</v>
      </c>
      <c r="ES44" s="343">
        <v>42942</v>
      </c>
      <c r="ET44" s="732">
        <v>43160</v>
      </c>
      <c r="EU44" s="733">
        <f t="shared" si="90"/>
        <v>218</v>
      </c>
      <c r="EV44" s="600">
        <v>43046</v>
      </c>
      <c r="EW44" s="600">
        <f ca="1">IF(EV44&lt;TODAY(),TODAY(),EV44)</f>
        <v>43163</v>
      </c>
      <c r="EX44" s="596">
        <f t="shared" ca="1" si="91"/>
        <v>117</v>
      </c>
      <c r="EY44" s="605">
        <v>43133</v>
      </c>
      <c r="EZ44" s="600">
        <f ca="1">IF(EY44&lt;TODAY(),TODAY(),EY44)</f>
        <v>43163</v>
      </c>
      <c r="FA44" s="596">
        <f t="shared" ca="1" si="92"/>
        <v>30</v>
      </c>
      <c r="FB44" s="600">
        <v>43182</v>
      </c>
      <c r="FC44" s="600">
        <f ca="1">IF(FB44&lt;TODAY(),TODAY(),FB44)</f>
        <v>43182</v>
      </c>
      <c r="FD44" s="596">
        <f t="shared" ca="1" si="93"/>
        <v>0</v>
      </c>
      <c r="FE44" s="600">
        <v>43214</v>
      </c>
      <c r="FF44" s="600">
        <f ca="1">IF(FE44&lt;TODAY(),TODAY(),FE44)</f>
        <v>43214</v>
      </c>
      <c r="FG44" s="596">
        <f t="shared" ca="1" si="94"/>
        <v>0</v>
      </c>
      <c r="FH44" s="600">
        <v>43346</v>
      </c>
      <c r="FI44" s="600">
        <f ca="1">IF(FH44&lt;TODAY(),TODAY(),FH44)</f>
        <v>43346</v>
      </c>
      <c r="FJ44" s="596">
        <f t="shared" ca="1" si="95"/>
        <v>0</v>
      </c>
      <c r="FK44" s="602"/>
      <c r="FL44" s="602"/>
      <c r="FM44" s="602"/>
      <c r="FN44" s="600">
        <v>43357</v>
      </c>
      <c r="FO44" s="600">
        <f t="shared" si="111"/>
        <v>43357</v>
      </c>
      <c r="FP44" s="598">
        <f t="shared" si="27"/>
        <v>19.166666666666668</v>
      </c>
      <c r="FQ44" s="600">
        <v>43385</v>
      </c>
      <c r="FR44" s="600">
        <f t="shared" si="112"/>
        <v>43403</v>
      </c>
      <c r="FS44" s="627"/>
      <c r="FT44" s="627"/>
      <c r="FU44" s="627">
        <v>481600.82</v>
      </c>
      <c r="FV44" s="627"/>
      <c r="FW44" s="628">
        <f t="shared" si="96"/>
        <v>29.066666666666666</v>
      </c>
      <c r="FX44" s="628">
        <f t="shared" si="29"/>
        <v>0.6</v>
      </c>
      <c r="FY44" s="624" t="s">
        <v>817</v>
      </c>
      <c r="FZ44" s="641"/>
      <c r="GA44" s="641" t="s">
        <v>818</v>
      </c>
      <c r="GB44" s="641" t="s">
        <v>821</v>
      </c>
      <c r="GC44" s="114"/>
      <c r="GD44" s="118"/>
      <c r="GE44" s="10">
        <f t="shared" si="109"/>
        <v>8830884.4772763215</v>
      </c>
      <c r="GF44" s="70">
        <f t="shared" si="105"/>
        <v>8447391</v>
      </c>
      <c r="GG44" s="12"/>
      <c r="GH44" s="23">
        <f>GE44/AI44</f>
        <v>2060.2196905725395</v>
      </c>
      <c r="GI44" s="23">
        <f>GE44/AD44</f>
        <v>191975.74950600698</v>
      </c>
      <c r="GJ44" s="10">
        <v>7838932.0183052132</v>
      </c>
      <c r="GK44" s="11"/>
      <c r="GL44" s="12">
        <f t="shared" si="97"/>
        <v>-7838932.0183052132</v>
      </c>
      <c r="GM44" s="137">
        <f t="shared" si="101"/>
        <v>0</v>
      </c>
      <c r="GN44" s="139">
        <v>0.39750000000000002</v>
      </c>
      <c r="GO44" s="10">
        <v>2934715.4772763224</v>
      </c>
      <c r="GP44" s="11">
        <v>2642685</v>
      </c>
      <c r="GQ44" s="23">
        <f>GO44/AD44</f>
        <v>63798.162549485271</v>
      </c>
      <c r="GR44" s="38"/>
      <c r="GS44" s="10">
        <v>5440169</v>
      </c>
      <c r="GT44" s="11">
        <f>GU44+GV44</f>
        <v>5285874</v>
      </c>
      <c r="GU44" s="13">
        <v>1258166</v>
      </c>
      <c r="GV44" s="13">
        <v>4027708</v>
      </c>
      <c r="GW44" s="38"/>
      <c r="GX44" s="23">
        <f>GS44/AD44</f>
        <v>118264.54347826086</v>
      </c>
      <c r="GY44" s="11"/>
      <c r="GZ44" s="10">
        <v>456000</v>
      </c>
      <c r="HA44" s="11">
        <v>406000</v>
      </c>
      <c r="HB44" s="70"/>
      <c r="HC44" s="41">
        <f>GZ44/GE44</f>
        <v>5.163695677068153E-2</v>
      </c>
      <c r="HD44" s="329"/>
      <c r="HE44" s="11">
        <f>56916+55916</f>
        <v>112832</v>
      </c>
      <c r="HF44" s="24">
        <f t="shared" si="62"/>
        <v>-50000</v>
      </c>
      <c r="HG44" s="23">
        <f>GZ44/AD44</f>
        <v>9913.04347826087</v>
      </c>
      <c r="HH44" s="84">
        <f>(GO44+GZ44)/AD44</f>
        <v>73711.206027746142</v>
      </c>
      <c r="HI44" s="24">
        <f t="shared" si="103"/>
        <v>-1086.9565217391305</v>
      </c>
      <c r="HJ44" s="51">
        <v>6.38</v>
      </c>
      <c r="HK44" s="51">
        <v>5.74</v>
      </c>
      <c r="HL44" s="40"/>
      <c r="HM44" s="40"/>
      <c r="HN44" s="23">
        <f t="shared" si="107"/>
        <v>66275.760869565216</v>
      </c>
      <c r="HO44" s="40"/>
      <c r="HP44" s="23">
        <f t="shared" si="108"/>
        <v>66275.760869565216</v>
      </c>
      <c r="HQ44" s="53">
        <f t="shared" si="45"/>
        <v>0.3609025555937922</v>
      </c>
      <c r="HR44" s="40"/>
      <c r="HS44" s="40"/>
      <c r="HT44" s="11"/>
      <c r="HU44" s="42">
        <f t="shared" si="98"/>
        <v>8447391</v>
      </c>
      <c r="HV44" s="296">
        <v>472842</v>
      </c>
      <c r="HW44" s="296">
        <f t="shared" si="99"/>
        <v>328625</v>
      </c>
      <c r="HX44" s="119">
        <v>41102</v>
      </c>
      <c r="HY44" s="245">
        <v>41000</v>
      </c>
      <c r="HZ44" s="245"/>
      <c r="IA44" s="119"/>
      <c r="IB44" s="119"/>
      <c r="IC44" s="245"/>
      <c r="ID44" s="119"/>
      <c r="IE44" s="245">
        <v>81523</v>
      </c>
      <c r="IF44" s="119"/>
      <c r="IG44" s="245">
        <v>46614</v>
      </c>
      <c r="IH44" s="120">
        <v>42039</v>
      </c>
      <c r="II44" s="350">
        <v>72488</v>
      </c>
      <c r="IJ44" s="341"/>
      <c r="IK44" s="341"/>
      <c r="IL44" s="128">
        <v>42716</v>
      </c>
      <c r="IM44" s="342">
        <v>18438</v>
      </c>
      <c r="IN44" s="128">
        <v>42794</v>
      </c>
      <c r="IO44" s="342">
        <v>47284</v>
      </c>
      <c r="IP44" s="297">
        <v>43080</v>
      </c>
      <c r="IQ44" s="326">
        <v>21278</v>
      </c>
      <c r="IR44" s="326"/>
      <c r="IS44" s="326"/>
      <c r="IT44" s="289"/>
      <c r="IU44" s="289"/>
      <c r="IV44" s="289"/>
      <c r="IW44" s="289"/>
      <c r="IX44" s="289"/>
      <c r="IY44" s="289"/>
      <c r="IZ44" s="245">
        <v>81523</v>
      </c>
      <c r="JA44" s="128"/>
      <c r="JB44" s="120"/>
      <c r="JC44" s="128"/>
      <c r="JD44" s="128"/>
      <c r="JE44" s="120"/>
    </row>
    <row r="45" spans="1:265" ht="24.95" customHeight="1">
      <c r="A45" s="6" t="s">
        <v>677</v>
      </c>
      <c r="B45" s="7" t="s">
        <v>167</v>
      </c>
      <c r="C45" s="7" t="s">
        <v>119</v>
      </c>
      <c r="D45" s="7">
        <v>2015</v>
      </c>
      <c r="E45" s="7" t="s">
        <v>266</v>
      </c>
      <c r="F45" s="7" t="s">
        <v>419</v>
      </c>
      <c r="G45" s="7" t="s">
        <v>519</v>
      </c>
      <c r="H45" s="7" t="s">
        <v>182</v>
      </c>
      <c r="I45" s="56"/>
      <c r="J45" s="56"/>
      <c r="K45" s="275" t="s">
        <v>623</v>
      </c>
      <c r="L45" s="173" t="s">
        <v>63</v>
      </c>
      <c r="M45" s="109" t="s">
        <v>68</v>
      </c>
      <c r="N45" s="110"/>
      <c r="O45" s="219">
        <v>13077</v>
      </c>
      <c r="P45" s="219"/>
      <c r="Q45" s="219"/>
      <c r="R45" s="219">
        <f t="shared" si="106"/>
        <v>0</v>
      </c>
      <c r="S45" s="219">
        <f t="shared" si="66"/>
        <v>0</v>
      </c>
      <c r="T45" s="225">
        <f t="shared" si="67"/>
        <v>0</v>
      </c>
      <c r="U45" s="225">
        <f t="shared" si="69"/>
        <v>0</v>
      </c>
      <c r="V45" s="225">
        <f t="shared" si="70"/>
        <v>0</v>
      </c>
      <c r="W45" s="219">
        <f t="shared" si="71"/>
        <v>1089.75</v>
      </c>
      <c r="X45" s="220"/>
      <c r="Y45" s="221">
        <f t="shared" si="72"/>
        <v>5.1805459967882543E-2</v>
      </c>
      <c r="Z45" s="220"/>
      <c r="AA45" s="222"/>
      <c r="AB45" s="223"/>
      <c r="AC45" s="20" t="s">
        <v>16</v>
      </c>
      <c r="AD45" s="345">
        <f t="shared" si="75"/>
        <v>12</v>
      </c>
      <c r="AE45" s="8"/>
      <c r="AF45" s="7">
        <v>12</v>
      </c>
      <c r="AG45" s="56"/>
      <c r="AH45" s="56"/>
      <c r="AI45" s="9">
        <v>1301.51</v>
      </c>
      <c r="AJ45" s="466">
        <v>677.46</v>
      </c>
      <c r="AK45" s="9">
        <f t="shared" ref="AK45:AK52" si="113">AJ45/AD45</f>
        <v>56.455000000000005</v>
      </c>
      <c r="AL45" s="81"/>
      <c r="AM45" s="81">
        <f>12/AD45</f>
        <v>1</v>
      </c>
      <c r="AN45" s="81"/>
      <c r="AO45" s="81"/>
      <c r="AP45" s="81"/>
      <c r="AQ45" s="9"/>
      <c r="AR45" s="79"/>
      <c r="AS45" s="81"/>
      <c r="AT45" s="60">
        <v>2</v>
      </c>
      <c r="AU45" s="59" t="s">
        <v>621</v>
      </c>
      <c r="AV45" s="7"/>
      <c r="AW45" s="196">
        <v>41921</v>
      </c>
      <c r="AX45" s="56"/>
      <c r="AY45" s="115" t="s">
        <v>12</v>
      </c>
      <c r="AZ45" s="113" t="s">
        <v>465</v>
      </c>
      <c r="BA45" s="36"/>
      <c r="BB45" s="216">
        <v>42306</v>
      </c>
      <c r="BC45" s="102">
        <v>42335</v>
      </c>
      <c r="BD45" s="102">
        <v>42600</v>
      </c>
      <c r="BE45" s="216">
        <v>42613</v>
      </c>
      <c r="BF45" s="102">
        <v>42614</v>
      </c>
      <c r="BG45" s="171">
        <v>42614</v>
      </c>
      <c r="BH45" s="214">
        <v>42622</v>
      </c>
      <c r="BI45" s="172">
        <v>42713</v>
      </c>
      <c r="BJ45" s="172">
        <v>42660</v>
      </c>
      <c r="BK45" s="323">
        <f>BH45</f>
        <v>42622</v>
      </c>
      <c r="BL45" s="322">
        <f t="shared" si="2"/>
        <v>43352</v>
      </c>
      <c r="BM45" s="322">
        <f t="shared" si="3"/>
        <v>43717</v>
      </c>
      <c r="BN45" s="322" t="str">
        <f>IF(CW45&gt;BM45,"oui","non")</f>
        <v>non</v>
      </c>
      <c r="BO45" s="171">
        <v>42627</v>
      </c>
      <c r="BP45" s="37" t="s">
        <v>648</v>
      </c>
      <c r="BQ45" s="393">
        <v>42747</v>
      </c>
      <c r="BR45" s="416">
        <v>42753</v>
      </c>
      <c r="BS45" s="416">
        <v>42753</v>
      </c>
      <c r="BT45" s="736">
        <v>42912</v>
      </c>
      <c r="BU45" s="167" t="s">
        <v>68</v>
      </c>
      <c r="BV45" s="333">
        <v>42725</v>
      </c>
      <c r="BW45" s="268" t="s">
        <v>612</v>
      </c>
      <c r="BX45" s="168">
        <v>9447490.1300000008</v>
      </c>
      <c r="BY45" s="305">
        <f t="shared" si="110"/>
        <v>43272</v>
      </c>
      <c r="BZ45" s="276">
        <f>DATE(YEAR(BV45),MONTH(BV45)+24,DAY(BV45))</f>
        <v>43455</v>
      </c>
      <c r="CA45" s="268"/>
      <c r="CB45" s="276">
        <v>43389</v>
      </c>
      <c r="CC45" s="681">
        <f>(CW45-CB45)/30</f>
        <v>0.46666666666666667</v>
      </c>
      <c r="CD45" s="509"/>
      <c r="CE45" s="383">
        <v>42782</v>
      </c>
      <c r="CF45" s="376">
        <v>2017</v>
      </c>
      <c r="CG45" s="496">
        <f t="shared" si="76"/>
        <v>15.866666666666667</v>
      </c>
      <c r="CH45" s="355">
        <v>19</v>
      </c>
      <c r="CI45" s="355">
        <f t="shared" si="100"/>
        <v>20</v>
      </c>
      <c r="CJ45" s="257">
        <f t="shared" si="77"/>
        <v>18</v>
      </c>
      <c r="CK45" s="257">
        <f t="shared" si="78"/>
        <v>20</v>
      </c>
      <c r="CL45" s="257" t="e">
        <f t="shared" si="79"/>
        <v>#NUM!</v>
      </c>
      <c r="CM45" s="257">
        <f t="shared" si="80"/>
        <v>0</v>
      </c>
      <c r="CN45" s="63">
        <v>3973</v>
      </c>
      <c r="CO45" s="247">
        <f t="shared" si="104"/>
        <v>-3973</v>
      </c>
      <c r="CP45" s="255">
        <v>42887</v>
      </c>
      <c r="CQ45" s="735">
        <f t="shared" si="81"/>
        <v>43359</v>
      </c>
      <c r="CR45" s="446">
        <v>43357</v>
      </c>
      <c r="CS45" s="458">
        <f t="shared" ref="CS45:CS72" si="114">DATE(YEAR(CA45)+2,MONTH(CA45),DAY(CA45))</f>
        <v>731</v>
      </c>
      <c r="CT45" s="198"/>
      <c r="CU45" s="198"/>
      <c r="CV45" s="650">
        <v>43387</v>
      </c>
      <c r="CW45" s="446">
        <v>43403</v>
      </c>
      <c r="CX45" s="458"/>
      <c r="CY45" s="123"/>
      <c r="CZ45" s="127"/>
      <c r="DA45" s="127"/>
      <c r="DB45" s="127"/>
      <c r="DC45" s="127"/>
      <c r="DD45" s="127"/>
      <c r="DE45" s="56"/>
      <c r="DF45" s="56"/>
      <c r="DG45" s="56"/>
      <c r="DH45" s="56"/>
      <c r="DI45" s="56"/>
      <c r="DJ45" s="56"/>
      <c r="DK45" s="56"/>
      <c r="DL45" s="56"/>
      <c r="DM45" s="56"/>
      <c r="DN45" s="119"/>
      <c r="DO45" s="56"/>
      <c r="DP45" s="56"/>
      <c r="DQ45" s="56"/>
      <c r="DR45" s="56"/>
      <c r="DS45" s="128"/>
      <c r="DT45" s="128"/>
      <c r="DU45" s="128"/>
      <c r="DV45" s="589" t="str">
        <f t="shared" si="82"/>
        <v>0</v>
      </c>
      <c r="DW45" s="128"/>
      <c r="DX45" s="128"/>
      <c r="DY45" s="589" t="str">
        <f t="shared" si="83"/>
        <v>0</v>
      </c>
      <c r="DZ45" s="128"/>
      <c r="EA45" s="128"/>
      <c r="EB45" s="589" t="str">
        <f t="shared" si="84"/>
        <v>0</v>
      </c>
      <c r="EC45" s="135"/>
      <c r="ED45" s="128"/>
      <c r="EE45" s="589" t="str">
        <f t="shared" si="85"/>
        <v>0</v>
      </c>
      <c r="EF45" s="128"/>
      <c r="EG45" s="128"/>
      <c r="EH45" s="589" t="str">
        <f t="shared" si="86"/>
        <v>0</v>
      </c>
      <c r="EI45" s="128"/>
      <c r="EJ45" s="128"/>
      <c r="EK45" s="128"/>
      <c r="EL45" s="589" t="str">
        <f t="shared" si="87"/>
        <v>0</v>
      </c>
      <c r="EM45" s="128"/>
      <c r="EN45" s="128"/>
      <c r="EO45" s="589" t="str">
        <f t="shared" si="88"/>
        <v>0</v>
      </c>
      <c r="EP45" s="128"/>
      <c r="EQ45" s="128"/>
      <c r="ER45" s="589" t="str">
        <f t="shared" si="89"/>
        <v>0</v>
      </c>
      <c r="ES45" s="343"/>
      <c r="ET45" s="732"/>
      <c r="EU45" s="733" t="str">
        <f t="shared" si="90"/>
        <v>0</v>
      </c>
      <c r="EV45" s="600"/>
      <c r="EW45" s="600"/>
      <c r="EX45" s="596" t="str">
        <f t="shared" si="91"/>
        <v>0</v>
      </c>
      <c r="EY45" s="600"/>
      <c r="EZ45" s="600"/>
      <c r="FA45" s="596" t="str">
        <f t="shared" si="92"/>
        <v>0</v>
      </c>
      <c r="FB45" s="600"/>
      <c r="FC45" s="600"/>
      <c r="FD45" s="596" t="str">
        <f t="shared" si="93"/>
        <v>0</v>
      </c>
      <c r="FE45" s="600"/>
      <c r="FF45" s="600"/>
      <c r="FG45" s="596" t="str">
        <f t="shared" si="94"/>
        <v>0</v>
      </c>
      <c r="FH45" s="600"/>
      <c r="FI45" s="600"/>
      <c r="FJ45" s="596" t="str">
        <f t="shared" si="95"/>
        <v>0</v>
      </c>
      <c r="FK45" s="602"/>
      <c r="FL45" s="602"/>
      <c r="FM45" s="602"/>
      <c r="FN45" s="600"/>
      <c r="FO45" s="600">
        <f t="shared" si="111"/>
        <v>43357</v>
      </c>
      <c r="FP45" s="598">
        <f t="shared" si="27"/>
        <v>0</v>
      </c>
      <c r="FQ45" s="600"/>
      <c r="FR45" s="600">
        <f t="shared" si="112"/>
        <v>43403</v>
      </c>
      <c r="FS45" s="627"/>
      <c r="FT45" s="627"/>
      <c r="FU45" s="627" t="s">
        <v>611</v>
      </c>
      <c r="FV45" s="627"/>
      <c r="FW45" s="628">
        <f t="shared" si="96"/>
        <v>0</v>
      </c>
      <c r="FX45" s="628">
        <f t="shared" si="29"/>
        <v>1446.7666666666667</v>
      </c>
      <c r="FY45" s="624"/>
      <c r="FZ45" s="641"/>
      <c r="GA45" s="641"/>
      <c r="GB45" s="641"/>
      <c r="GC45" s="114"/>
      <c r="GD45" s="118"/>
      <c r="GE45" s="10">
        <f t="shared" si="109"/>
        <v>1416864.7499111779</v>
      </c>
      <c r="GF45" s="70">
        <f t="shared" si="105"/>
        <v>1499983.8900000001</v>
      </c>
      <c r="GG45" s="12">
        <f>GF45-GE45</f>
        <v>83119.140088822227</v>
      </c>
      <c r="GH45" s="23">
        <f>GE45/AI45</f>
        <v>1088.631474142479</v>
      </c>
      <c r="GI45" s="23">
        <f>GE45/AD45</f>
        <v>118072.06249259815</v>
      </c>
      <c r="GJ45" s="10">
        <v>1249637.106694787</v>
      </c>
      <c r="GK45" s="11"/>
      <c r="GL45" s="12">
        <f t="shared" si="97"/>
        <v>-1249637.106694787</v>
      </c>
      <c r="GM45" s="137">
        <f t="shared" si="101"/>
        <v>0</v>
      </c>
      <c r="GN45" s="139">
        <v>0.39750000000000002</v>
      </c>
      <c r="GO45" s="10">
        <v>410870.74991117785</v>
      </c>
      <c r="GP45" s="11">
        <v>443491.89</v>
      </c>
      <c r="GQ45" s="23">
        <f>GO45/AD45</f>
        <v>34239.229159264818</v>
      </c>
      <c r="GR45" s="38">
        <f>GP45-GO45</f>
        <v>32621.140088822169</v>
      </c>
      <c r="GS45" s="10">
        <v>789994</v>
      </c>
      <c r="GT45" s="11">
        <f>GU45+GV45</f>
        <v>771556</v>
      </c>
      <c r="GU45" s="13">
        <v>172922</v>
      </c>
      <c r="GV45" s="13">
        <v>598634</v>
      </c>
      <c r="GW45" s="38">
        <f t="shared" ref="GW45:GW62" si="115">GT45-GS45</f>
        <v>-18438</v>
      </c>
      <c r="GX45" s="23">
        <f>GS45/AD45</f>
        <v>65832.833333333328</v>
      </c>
      <c r="GY45" s="11"/>
      <c r="GZ45" s="10">
        <v>216000</v>
      </c>
      <c r="HA45" s="11">
        <v>266000</v>
      </c>
      <c r="HB45" s="70"/>
      <c r="HC45" s="41">
        <f>GZ45/GE45</f>
        <v>0.15244927224955018</v>
      </c>
      <c r="HD45" s="329"/>
      <c r="HE45" s="11">
        <f>9552+9384</f>
        <v>18936</v>
      </c>
      <c r="HF45" s="24">
        <f t="shared" si="62"/>
        <v>50000</v>
      </c>
      <c r="HG45" s="23">
        <f>GZ45/AD45</f>
        <v>18000</v>
      </c>
      <c r="HH45" s="84">
        <f>(GO45+GZ45)/AD45</f>
        <v>52239.229159264825</v>
      </c>
      <c r="HI45" s="24">
        <f t="shared" si="103"/>
        <v>4166.666666666667</v>
      </c>
      <c r="HJ45" s="51">
        <v>5.85</v>
      </c>
      <c r="HK45" s="51">
        <v>5.84</v>
      </c>
      <c r="HL45" s="40">
        <v>0</v>
      </c>
      <c r="HM45" s="40">
        <v>0</v>
      </c>
      <c r="HN45" s="23">
        <f t="shared" si="107"/>
        <v>59124.324166666665</v>
      </c>
      <c r="HO45" s="40">
        <v>0</v>
      </c>
      <c r="HP45" s="23">
        <f t="shared" si="108"/>
        <v>59124.324166666665</v>
      </c>
      <c r="HQ45" s="53">
        <f t="shared" si="45"/>
        <v>0.47299967334982507</v>
      </c>
      <c r="HR45" s="40">
        <v>0</v>
      </c>
      <c r="HS45" s="40"/>
      <c r="HT45" s="11">
        <v>0</v>
      </c>
      <c r="HU45" s="42">
        <f t="shared" si="98"/>
        <v>1499983.8900000001</v>
      </c>
      <c r="HV45" s="296"/>
      <c r="HW45" s="296">
        <f t="shared" si="99"/>
        <v>0</v>
      </c>
      <c r="HX45" s="119"/>
      <c r="HY45" s="245"/>
      <c r="HZ45" s="245"/>
      <c r="IA45" s="119"/>
      <c r="IB45" s="119"/>
      <c r="IC45" s="245"/>
      <c r="ID45" s="119"/>
      <c r="IE45" s="245"/>
      <c r="IF45" s="119"/>
      <c r="IG45" s="245"/>
      <c r="IH45" s="120"/>
      <c r="II45" s="350"/>
      <c r="IJ45" s="341"/>
      <c r="IK45" s="341"/>
      <c r="IL45" s="128"/>
      <c r="IM45" s="245"/>
      <c r="IN45" s="128"/>
      <c r="IO45" s="245"/>
      <c r="IP45" s="326"/>
      <c r="IQ45" s="326"/>
      <c r="IR45" s="326"/>
      <c r="IS45" s="326"/>
      <c r="IT45" s="289"/>
      <c r="IU45" s="289"/>
      <c r="IV45" s="289"/>
      <c r="IW45" s="289"/>
      <c r="IX45" s="289"/>
      <c r="IY45" s="289"/>
      <c r="IZ45" s="245"/>
      <c r="JA45" s="128"/>
      <c r="JB45" s="120"/>
      <c r="JC45" s="128"/>
      <c r="JD45" s="128"/>
      <c r="JE45" s="120"/>
    </row>
    <row r="46" spans="1:265" ht="24.95" customHeight="1">
      <c r="A46" s="6" t="s">
        <v>445</v>
      </c>
      <c r="B46" s="56" t="s">
        <v>48</v>
      </c>
      <c r="C46" s="56" t="s">
        <v>118</v>
      </c>
      <c r="D46" s="56">
        <v>2015</v>
      </c>
      <c r="E46" s="56" t="s">
        <v>269</v>
      </c>
      <c r="F46" s="56" t="s">
        <v>340</v>
      </c>
      <c r="G46" s="56" t="s">
        <v>190</v>
      </c>
      <c r="H46" s="58" t="s">
        <v>182</v>
      </c>
      <c r="I46" s="58" t="s">
        <v>563</v>
      </c>
      <c r="J46" s="56"/>
      <c r="K46" s="275" t="s">
        <v>420</v>
      </c>
      <c r="L46" s="178" t="s">
        <v>69</v>
      </c>
      <c r="M46" s="179" t="s">
        <v>149</v>
      </c>
      <c r="N46" s="180"/>
      <c r="O46" s="219">
        <v>1767</v>
      </c>
      <c r="P46" s="219">
        <v>210000</v>
      </c>
      <c r="Q46" s="219">
        <v>210000</v>
      </c>
      <c r="R46" s="219">
        <f t="shared" si="106"/>
        <v>11666.666666666666</v>
      </c>
      <c r="S46" s="219">
        <f t="shared" si="66"/>
        <v>118.84550084889644</v>
      </c>
      <c r="T46" s="225">
        <f t="shared" si="67"/>
        <v>118.84550084889644</v>
      </c>
      <c r="U46" s="225">
        <f t="shared" si="69"/>
        <v>122.68720021966851</v>
      </c>
      <c r="V46" s="225">
        <f t="shared" si="70"/>
        <v>11666.666666666666</v>
      </c>
      <c r="W46" s="219">
        <f t="shared" si="71"/>
        <v>98.166666666666671</v>
      </c>
      <c r="X46" s="220"/>
      <c r="Y46" s="221">
        <f t="shared" si="72"/>
        <v>0.96868704018109797</v>
      </c>
      <c r="Z46" s="220" t="s">
        <v>279</v>
      </c>
      <c r="AA46" s="220">
        <v>200</v>
      </c>
      <c r="AB46" s="221"/>
      <c r="AC46" s="57" t="s">
        <v>16</v>
      </c>
      <c r="AD46" s="345">
        <f t="shared" si="75"/>
        <v>18</v>
      </c>
      <c r="AE46" s="67"/>
      <c r="AF46" s="56">
        <v>18</v>
      </c>
      <c r="AG46" s="56"/>
      <c r="AH46" s="56"/>
      <c r="AI46" s="60">
        <v>1709.55</v>
      </c>
      <c r="AJ46" s="454">
        <v>1711.67</v>
      </c>
      <c r="AK46" s="60">
        <f t="shared" si="113"/>
        <v>95.092777777777783</v>
      </c>
      <c r="AL46" s="81">
        <v>0</v>
      </c>
      <c r="AM46" s="81">
        <v>0</v>
      </c>
      <c r="AN46" s="81">
        <f>10/AD46</f>
        <v>0.55555555555555558</v>
      </c>
      <c r="AO46" s="81">
        <f>4/AD46</f>
        <v>0.22222222222222221</v>
      </c>
      <c r="AP46" s="81">
        <f>4/AD46</f>
        <v>0.22222222222222221</v>
      </c>
      <c r="AQ46" s="60"/>
      <c r="AR46" s="79">
        <v>0</v>
      </c>
      <c r="AS46" s="81">
        <v>0</v>
      </c>
      <c r="AT46" s="60">
        <v>3</v>
      </c>
      <c r="AU46" s="59" t="s">
        <v>621</v>
      </c>
      <c r="AV46" s="56" t="s">
        <v>125</v>
      </c>
      <c r="AW46" s="196">
        <v>41920</v>
      </c>
      <c r="AX46" s="56"/>
      <c r="AY46" s="115" t="s">
        <v>11</v>
      </c>
      <c r="AZ46" s="115" t="s">
        <v>288</v>
      </c>
      <c r="BA46" s="100"/>
      <c r="BB46" s="216">
        <v>42320</v>
      </c>
      <c r="BC46" s="102"/>
      <c r="BD46" s="102">
        <v>42573</v>
      </c>
      <c r="BE46" s="216">
        <v>42607</v>
      </c>
      <c r="BF46" s="102">
        <v>42607</v>
      </c>
      <c r="BG46" s="171">
        <v>42608</v>
      </c>
      <c r="BH46" s="214">
        <v>42620</v>
      </c>
      <c r="BI46" s="172">
        <v>42711</v>
      </c>
      <c r="BJ46" s="172">
        <v>42648</v>
      </c>
      <c r="BK46" s="323">
        <f>BH46</f>
        <v>42620</v>
      </c>
      <c r="BL46" s="322">
        <f t="shared" si="2"/>
        <v>43350</v>
      </c>
      <c r="BM46" s="322">
        <f t="shared" si="3"/>
        <v>43715</v>
      </c>
      <c r="BN46" s="322" t="str">
        <f>IF(CW46&gt;BL46,"oui","non")</f>
        <v>non</v>
      </c>
      <c r="BO46" s="171">
        <v>42627</v>
      </c>
      <c r="BP46" s="172">
        <v>42725</v>
      </c>
      <c r="BQ46" s="311"/>
      <c r="BR46" s="310"/>
      <c r="BS46" s="104">
        <v>42725</v>
      </c>
      <c r="BT46" s="710"/>
      <c r="BU46" s="170" t="s">
        <v>149</v>
      </c>
      <c r="BV46" s="333">
        <v>42719</v>
      </c>
      <c r="BW46" s="268" t="s">
        <v>612</v>
      </c>
      <c r="BX46" s="169">
        <f>3299575.14/1.021</f>
        <v>3231709.2458374146</v>
      </c>
      <c r="BY46" s="305">
        <f t="shared" si="110"/>
        <v>43266</v>
      </c>
      <c r="BZ46" s="276">
        <f>DATE(YEAR(BV46),MONTH(BV46)+24,DAY(BV46))</f>
        <v>43449</v>
      </c>
      <c r="CA46" s="268"/>
      <c r="CB46" s="276">
        <v>43449</v>
      </c>
      <c r="CC46" s="681">
        <f>(CW46-CB46)/30</f>
        <v>-3.5666666666666669</v>
      </c>
      <c r="CD46" s="509"/>
      <c r="CE46" s="383">
        <v>42772</v>
      </c>
      <c r="CF46" s="376">
        <v>2017</v>
      </c>
      <c r="CG46" s="496">
        <f t="shared" si="76"/>
        <v>15.066666666666666</v>
      </c>
      <c r="CH46" s="355">
        <v>16</v>
      </c>
      <c r="CI46" s="355">
        <f t="shared" si="100"/>
        <v>17</v>
      </c>
      <c r="CJ46" s="257">
        <f t="shared" si="77"/>
        <v>18</v>
      </c>
      <c r="CK46" s="257">
        <f t="shared" si="78"/>
        <v>18</v>
      </c>
      <c r="CL46" s="257">
        <f t="shared" si="79"/>
        <v>2</v>
      </c>
      <c r="CM46" s="257">
        <f t="shared" si="80"/>
        <v>1</v>
      </c>
      <c r="CN46" s="263"/>
      <c r="CO46" s="247">
        <f t="shared" si="104"/>
        <v>0</v>
      </c>
      <c r="CP46" s="255">
        <v>42879</v>
      </c>
      <c r="CQ46" s="735">
        <f t="shared" si="81"/>
        <v>43257</v>
      </c>
      <c r="CR46" s="446">
        <v>43328</v>
      </c>
      <c r="CS46" s="458">
        <f t="shared" si="114"/>
        <v>731</v>
      </c>
      <c r="CT46" s="198"/>
      <c r="CU46" s="123"/>
      <c r="CV46" s="650">
        <v>43329</v>
      </c>
      <c r="CW46" s="446">
        <v>43342</v>
      </c>
      <c r="CX46" s="647"/>
      <c r="CY46" s="123"/>
      <c r="CZ46" s="127"/>
      <c r="DA46" s="127"/>
      <c r="DB46" s="127"/>
      <c r="DC46" s="127"/>
      <c r="DD46" s="127"/>
      <c r="DE46" s="56"/>
      <c r="DF46" s="56"/>
      <c r="DG46" s="56"/>
      <c r="DH46" s="56"/>
      <c r="DI46" s="56"/>
      <c r="DJ46" s="56"/>
      <c r="DK46" s="56"/>
      <c r="DL46" s="56"/>
      <c r="DM46" s="56"/>
      <c r="DN46" s="119"/>
      <c r="DO46" s="56"/>
      <c r="DP46" s="56"/>
      <c r="DQ46" s="56"/>
      <c r="DR46" s="56"/>
      <c r="DS46" s="128">
        <v>41813</v>
      </c>
      <c r="DT46" s="128">
        <v>41814</v>
      </c>
      <c r="DU46" s="128">
        <v>41813</v>
      </c>
      <c r="DV46" s="589">
        <f t="shared" si="82"/>
        <v>-1</v>
      </c>
      <c r="DW46" s="128">
        <v>42027</v>
      </c>
      <c r="DX46" s="128">
        <v>41996</v>
      </c>
      <c r="DY46" s="589">
        <f t="shared" si="83"/>
        <v>-31</v>
      </c>
      <c r="DZ46" s="128">
        <v>42026</v>
      </c>
      <c r="EA46" s="128">
        <v>42038</v>
      </c>
      <c r="EB46" s="589">
        <f t="shared" si="84"/>
        <v>12</v>
      </c>
      <c r="EC46" s="128">
        <v>42078</v>
      </c>
      <c r="ED46" s="128">
        <v>42128</v>
      </c>
      <c r="EE46" s="589">
        <f t="shared" si="85"/>
        <v>50</v>
      </c>
      <c r="EF46" s="128">
        <v>42186</v>
      </c>
      <c r="EG46" s="128">
        <v>42254</v>
      </c>
      <c r="EH46" s="589">
        <f t="shared" si="86"/>
        <v>68</v>
      </c>
      <c r="EI46" s="128">
        <v>42472</v>
      </c>
      <c r="EJ46" s="128">
        <v>42695</v>
      </c>
      <c r="EK46" s="128">
        <v>42769</v>
      </c>
      <c r="EL46" s="589">
        <f t="shared" si="87"/>
        <v>74</v>
      </c>
      <c r="EM46" s="128">
        <v>42783</v>
      </c>
      <c r="EN46" s="128">
        <v>42772</v>
      </c>
      <c r="EO46" s="589">
        <f t="shared" si="88"/>
        <v>-11</v>
      </c>
      <c r="EP46" s="128">
        <v>42800</v>
      </c>
      <c r="EQ46" s="128">
        <v>42867</v>
      </c>
      <c r="ER46" s="589">
        <f t="shared" si="89"/>
        <v>67</v>
      </c>
      <c r="ES46" s="128">
        <v>42899</v>
      </c>
      <c r="ET46" s="644">
        <v>42923</v>
      </c>
      <c r="EU46" s="593">
        <f t="shared" si="90"/>
        <v>24</v>
      </c>
      <c r="EV46" s="128">
        <v>43068</v>
      </c>
      <c r="EW46" s="128">
        <v>43064</v>
      </c>
      <c r="EX46" s="589">
        <f t="shared" si="91"/>
        <v>-4</v>
      </c>
      <c r="EY46" s="600">
        <v>43082</v>
      </c>
      <c r="EZ46" s="600">
        <f ca="1">IF(EY46&lt;TODAY(),TODAY(),EY46)</f>
        <v>43163</v>
      </c>
      <c r="FA46" s="596">
        <f t="shared" ca="1" si="92"/>
        <v>81</v>
      </c>
      <c r="FB46" s="600">
        <v>43136</v>
      </c>
      <c r="FC46" s="600">
        <f ca="1">IF(FB46&lt;TODAY(),TODAY(),FB46)</f>
        <v>43163</v>
      </c>
      <c r="FD46" s="596">
        <f t="shared" ca="1" si="93"/>
        <v>27</v>
      </c>
      <c r="FE46" s="600">
        <v>43216</v>
      </c>
      <c r="FF46" s="600">
        <f ca="1">IF(FE46&lt;TODAY(),TODAY(),FE46)</f>
        <v>43216</v>
      </c>
      <c r="FG46" s="596">
        <f t="shared" ca="1" si="94"/>
        <v>0</v>
      </c>
      <c r="FH46" s="600">
        <v>43244</v>
      </c>
      <c r="FI46" s="600">
        <f ca="1">IF(FH46&lt;TODAY(),TODAY(),FH46)</f>
        <v>43244</v>
      </c>
      <c r="FJ46" s="596">
        <f t="shared" ca="1" si="95"/>
        <v>0</v>
      </c>
      <c r="FK46" s="600"/>
      <c r="FL46" s="600"/>
      <c r="FM46" s="600"/>
      <c r="FN46" s="600">
        <v>43252</v>
      </c>
      <c r="FO46" s="600">
        <f t="shared" si="111"/>
        <v>43328</v>
      </c>
      <c r="FP46" s="598">
        <f t="shared" si="27"/>
        <v>16</v>
      </c>
      <c r="FQ46" s="600">
        <v>43280</v>
      </c>
      <c r="FR46" s="600">
        <f t="shared" si="112"/>
        <v>43342</v>
      </c>
      <c r="FS46" s="627"/>
      <c r="FT46" s="627"/>
      <c r="FU46" s="627">
        <v>174061.74</v>
      </c>
      <c r="FV46" s="627"/>
      <c r="FW46" s="628">
        <f t="shared" si="96"/>
        <v>5.3666666666666663</v>
      </c>
      <c r="FX46" s="628">
        <f t="shared" si="29"/>
        <v>2.0666666666666669</v>
      </c>
      <c r="FY46" s="624" t="s">
        <v>814</v>
      </c>
      <c r="FZ46" s="641"/>
      <c r="GA46" s="641" t="s">
        <v>820</v>
      </c>
      <c r="GB46" s="641" t="s">
        <v>824</v>
      </c>
      <c r="GC46" s="118"/>
      <c r="GD46" s="118"/>
      <c r="GE46" s="96">
        <f t="shared" si="109"/>
        <v>3425875.7637468651</v>
      </c>
      <c r="GF46" s="70">
        <f t="shared" si="105"/>
        <v>3413701</v>
      </c>
      <c r="GG46" s="97">
        <f>GF46-GE46</f>
        <v>-12174.763746865094</v>
      </c>
      <c r="GH46" s="52">
        <f>GF46/AI46</f>
        <v>1996.8418589687344</v>
      </c>
      <c r="GI46" s="52">
        <f>GF46/AD46</f>
        <v>189650.05555555556</v>
      </c>
      <c r="GJ46" s="96">
        <v>3100225</v>
      </c>
      <c r="GK46" s="70">
        <v>2697771.947337376</v>
      </c>
      <c r="GL46" s="97">
        <f t="shared" si="97"/>
        <v>-402453.05266262405</v>
      </c>
      <c r="GM46" s="138">
        <f t="shared" si="101"/>
        <v>0.80687358331367054</v>
      </c>
      <c r="GN46" s="139">
        <v>0.39772600000000002</v>
      </c>
      <c r="GO46" s="96">
        <v>1068687.828</v>
      </c>
      <c r="GP46" s="11">
        <v>982780</v>
      </c>
      <c r="GQ46" s="52">
        <f>GP46/AD46</f>
        <v>54598.888888888891</v>
      </c>
      <c r="GR46" s="98">
        <f>GP46-GO46</f>
        <v>-85907.82799999998</v>
      </c>
      <c r="GS46" s="96">
        <v>1997187.9357468651</v>
      </c>
      <c r="GT46" s="70">
        <f>SUBTOTAL(9,GU46:GV46)</f>
        <v>2024741</v>
      </c>
      <c r="GU46" s="90">
        <v>334225</v>
      </c>
      <c r="GV46" s="90">
        <v>1690516</v>
      </c>
      <c r="GW46" s="98">
        <f t="shared" si="115"/>
        <v>27553.064253134886</v>
      </c>
      <c r="GX46" s="52">
        <f>GT46/AD46</f>
        <v>112485.61111111111</v>
      </c>
      <c r="GY46" s="70"/>
      <c r="GZ46" s="96">
        <v>360000</v>
      </c>
      <c r="HA46" s="70">
        <v>360000</v>
      </c>
      <c r="HB46" s="70"/>
      <c r="HC46" s="91">
        <f>HA46/GF46</f>
        <v>0.10545739067364131</v>
      </c>
      <c r="HD46" s="329"/>
      <c r="HE46" s="70">
        <f>12846+33334</f>
        <v>46180</v>
      </c>
      <c r="HF46" s="92">
        <f t="shared" si="62"/>
        <v>0</v>
      </c>
      <c r="HG46" s="52">
        <f>HA46/AD46</f>
        <v>20000</v>
      </c>
      <c r="HH46" s="84">
        <f>(GP46+HA46)/AD46</f>
        <v>74598.888888888891</v>
      </c>
      <c r="HI46" s="92">
        <f t="shared" si="103"/>
        <v>0</v>
      </c>
      <c r="HJ46" s="93">
        <v>5.0199999999999996</v>
      </c>
      <c r="HK46" s="93">
        <v>4.8499999999999996</v>
      </c>
      <c r="HL46" s="94">
        <v>0</v>
      </c>
      <c r="HM46" s="94">
        <v>0</v>
      </c>
      <c r="HN46" s="52">
        <f t="shared" si="107"/>
        <v>74598.888888888891</v>
      </c>
      <c r="HO46" s="94">
        <v>0</v>
      </c>
      <c r="HP46" s="52">
        <f t="shared" si="108"/>
        <v>74598.888888888891</v>
      </c>
      <c r="HQ46" s="53">
        <f t="shared" si="45"/>
        <v>0.39335020846875574</v>
      </c>
      <c r="HR46" s="94">
        <v>0</v>
      </c>
      <c r="HS46" s="94"/>
      <c r="HT46" s="70">
        <v>0</v>
      </c>
      <c r="HU46" s="99">
        <f t="shared" si="98"/>
        <v>3413701</v>
      </c>
      <c r="HV46" s="296">
        <v>167759</v>
      </c>
      <c r="HW46" s="296">
        <f t="shared" si="99"/>
        <v>134207</v>
      </c>
      <c r="HX46" s="119">
        <v>41941</v>
      </c>
      <c r="HY46" s="245">
        <v>19485</v>
      </c>
      <c r="HZ46" s="245"/>
      <c r="IA46" s="119"/>
      <c r="IB46" s="119">
        <v>41992</v>
      </c>
      <c r="IC46" s="245"/>
      <c r="ID46" s="119">
        <v>41992</v>
      </c>
      <c r="IE46" s="245">
        <v>29228</v>
      </c>
      <c r="IF46" s="119">
        <v>42086</v>
      </c>
      <c r="IG46" s="245">
        <v>10005</v>
      </c>
      <c r="IH46" s="120">
        <v>42202</v>
      </c>
      <c r="II46" s="350">
        <v>25161</v>
      </c>
      <c r="IJ46" s="341"/>
      <c r="IK46" s="341"/>
      <c r="IL46" s="128">
        <v>42719</v>
      </c>
      <c r="IM46" s="245"/>
      <c r="IN46" s="128">
        <v>42719</v>
      </c>
      <c r="IO46" s="245">
        <v>25164</v>
      </c>
      <c r="IP46" s="344">
        <v>42963</v>
      </c>
      <c r="IQ46" s="352">
        <v>8388</v>
      </c>
      <c r="IR46" s="491"/>
      <c r="IS46" s="491"/>
      <c r="IT46" s="119">
        <v>43082</v>
      </c>
      <c r="IU46" s="120">
        <v>16776</v>
      </c>
      <c r="IV46" s="289"/>
      <c r="IW46" s="289"/>
      <c r="IX46" s="289"/>
      <c r="IY46" s="289"/>
      <c r="IZ46" s="245">
        <v>29228</v>
      </c>
      <c r="JA46" s="128"/>
      <c r="JB46" s="120"/>
      <c r="JC46" s="128"/>
      <c r="JD46" s="128"/>
      <c r="JE46" s="120"/>
    </row>
    <row r="47" spans="1:265" ht="24.95" customHeight="1">
      <c r="A47" s="86" t="s">
        <v>607</v>
      </c>
      <c r="B47" s="7" t="s">
        <v>28</v>
      </c>
      <c r="C47" s="7" t="s">
        <v>117</v>
      </c>
      <c r="D47" s="7">
        <v>2015</v>
      </c>
      <c r="E47" s="7" t="s">
        <v>570</v>
      </c>
      <c r="F47" s="7" t="s">
        <v>30</v>
      </c>
      <c r="G47" s="7" t="s">
        <v>519</v>
      </c>
      <c r="H47" s="7" t="s">
        <v>182</v>
      </c>
      <c r="I47" s="56"/>
      <c r="J47" s="56"/>
      <c r="K47" s="275"/>
      <c r="L47" s="173"/>
      <c r="M47" s="109" t="s">
        <v>149</v>
      </c>
      <c r="N47" s="110"/>
      <c r="O47" s="225">
        <v>3038</v>
      </c>
      <c r="P47" s="225">
        <f>Q47</f>
        <v>690000</v>
      </c>
      <c r="Q47" s="225">
        <v>690000</v>
      </c>
      <c r="R47" s="219">
        <f t="shared" si="106"/>
        <v>12545.454545454546</v>
      </c>
      <c r="S47" s="225">
        <f t="shared" si="66"/>
        <v>227.12310730743911</v>
      </c>
      <c r="T47" s="225">
        <f t="shared" si="67"/>
        <v>227.12310730743911</v>
      </c>
      <c r="U47" s="225">
        <f t="shared" si="69"/>
        <v>213.33828030794916</v>
      </c>
      <c r="V47" s="225">
        <f t="shared" si="70"/>
        <v>12545.454545454546</v>
      </c>
      <c r="W47" s="219">
        <f t="shared" si="71"/>
        <v>55.236363636363635</v>
      </c>
      <c r="X47" s="229"/>
      <c r="Y47" s="230">
        <f t="shared" si="72"/>
        <v>1.0646148782093483</v>
      </c>
      <c r="Z47" s="229" t="s">
        <v>197</v>
      </c>
      <c r="AA47" s="222"/>
      <c r="AB47" s="223"/>
      <c r="AC47" s="20" t="s">
        <v>16</v>
      </c>
      <c r="AD47" s="345">
        <f t="shared" si="75"/>
        <v>55</v>
      </c>
      <c r="AE47" s="8"/>
      <c r="AF47" s="7">
        <f>55*1</f>
        <v>55</v>
      </c>
      <c r="AG47" s="56"/>
      <c r="AH47" s="56"/>
      <c r="AI47" s="9">
        <v>3218.48</v>
      </c>
      <c r="AJ47" s="466">
        <v>3234.3</v>
      </c>
      <c r="AK47" s="9">
        <f t="shared" si="113"/>
        <v>58.805454545454552</v>
      </c>
      <c r="AL47" s="62"/>
      <c r="AM47" s="81">
        <v>1</v>
      </c>
      <c r="AN47" s="62"/>
      <c r="AO47" s="62"/>
      <c r="AP47" s="62"/>
      <c r="AQ47" s="9"/>
      <c r="AR47" s="79">
        <v>0</v>
      </c>
      <c r="AS47" s="81">
        <f>AR47/O47</f>
        <v>0</v>
      </c>
      <c r="AT47" s="60">
        <v>3</v>
      </c>
      <c r="AU47" s="59" t="s">
        <v>621</v>
      </c>
      <c r="AV47" s="7"/>
      <c r="AW47" s="58" t="s">
        <v>331</v>
      </c>
      <c r="AX47" s="56"/>
      <c r="AY47" s="113" t="s">
        <v>11</v>
      </c>
      <c r="AZ47" s="113" t="s">
        <v>569</v>
      </c>
      <c r="BA47" s="469"/>
      <c r="BB47" s="216">
        <v>42320</v>
      </c>
      <c r="BC47" s="102"/>
      <c r="BD47" s="102">
        <v>42649</v>
      </c>
      <c r="BE47" s="216">
        <v>42697</v>
      </c>
      <c r="BF47" s="102">
        <v>42698</v>
      </c>
      <c r="BG47" s="171" t="s">
        <v>133</v>
      </c>
      <c r="BH47" s="214">
        <v>42719</v>
      </c>
      <c r="BI47" s="172">
        <v>42805</v>
      </c>
      <c r="BJ47" s="172">
        <v>42727</v>
      </c>
      <c r="BK47" s="323">
        <f>BH47</f>
        <v>42719</v>
      </c>
      <c r="BL47" s="322">
        <f t="shared" si="2"/>
        <v>43449</v>
      </c>
      <c r="BM47" s="322">
        <f t="shared" si="3"/>
        <v>43814</v>
      </c>
      <c r="BN47" s="322" t="str">
        <f>IF(CW47&gt;BL47,"oui","non")</f>
        <v>oui</v>
      </c>
      <c r="BO47" s="171"/>
      <c r="BP47" s="471" t="s">
        <v>651</v>
      </c>
      <c r="BQ47" s="415">
        <v>42823</v>
      </c>
      <c r="BR47" s="415">
        <v>42850</v>
      </c>
      <c r="BS47" s="416">
        <v>42915</v>
      </c>
      <c r="BT47" s="415">
        <v>42915</v>
      </c>
      <c r="BU47" s="167" t="s">
        <v>149</v>
      </c>
      <c r="BV47" s="333">
        <v>42727</v>
      </c>
      <c r="BW47" s="450" t="s">
        <v>612</v>
      </c>
      <c r="BX47" s="660">
        <v>6242199</v>
      </c>
      <c r="BY47" s="305">
        <f t="shared" si="110"/>
        <v>43274</v>
      </c>
      <c r="BZ47" s="276">
        <f>DATE(YEAR(BV47),MONTH(BV47)+24,DAY(BV47))</f>
        <v>43457</v>
      </c>
      <c r="CA47" s="268"/>
      <c r="CB47" s="276">
        <v>43457</v>
      </c>
      <c r="CC47" s="681">
        <f>(CW47-CB47)/30</f>
        <v>0.6</v>
      </c>
      <c r="CD47" s="509"/>
      <c r="CE47" s="383">
        <v>42767</v>
      </c>
      <c r="CF47" s="376">
        <v>2017</v>
      </c>
      <c r="CG47" s="496">
        <f t="shared" si="76"/>
        <v>14.9</v>
      </c>
      <c r="CH47" s="355">
        <v>22</v>
      </c>
      <c r="CI47" s="355">
        <f t="shared" si="100"/>
        <v>23</v>
      </c>
      <c r="CJ47" s="257">
        <f t="shared" si="77"/>
        <v>21</v>
      </c>
      <c r="CK47" s="257">
        <f t="shared" si="78"/>
        <v>23</v>
      </c>
      <c r="CL47" s="257" t="e">
        <f t="shared" si="79"/>
        <v>#NUM!</v>
      </c>
      <c r="CM47" s="257">
        <f t="shared" si="80"/>
        <v>0</v>
      </c>
      <c r="CN47" s="263"/>
      <c r="CO47" s="247">
        <f t="shared" si="104"/>
        <v>0</v>
      </c>
      <c r="CP47" s="258"/>
      <c r="CQ47" s="699">
        <f t="shared" si="81"/>
        <v>43435</v>
      </c>
      <c r="CR47" s="446">
        <v>43427</v>
      </c>
      <c r="CS47" s="653">
        <f t="shared" si="114"/>
        <v>731</v>
      </c>
      <c r="CT47" s="258"/>
      <c r="CU47" s="258"/>
      <c r="CV47" s="524">
        <v>43428</v>
      </c>
      <c r="CW47" s="506">
        <v>43475</v>
      </c>
      <c r="CX47" s="654"/>
      <c r="CY47" s="123"/>
      <c r="CZ47" s="127"/>
      <c r="DA47" s="127"/>
      <c r="DB47" s="127"/>
      <c r="DC47" s="127"/>
      <c r="DD47" s="127"/>
      <c r="DE47" s="56"/>
      <c r="DF47" s="56"/>
      <c r="DG47" s="56"/>
      <c r="DH47" s="56"/>
      <c r="DI47" s="56"/>
      <c r="DJ47" s="56"/>
      <c r="DK47" s="56"/>
      <c r="DL47" s="56"/>
      <c r="DM47" s="56"/>
      <c r="DN47" s="119"/>
      <c r="DO47" s="56"/>
      <c r="DP47" s="56"/>
      <c r="DQ47" s="56"/>
      <c r="DR47" s="56"/>
      <c r="DS47" s="128"/>
      <c r="DT47" s="128"/>
      <c r="DU47" s="128"/>
      <c r="DV47" s="589" t="str">
        <f t="shared" si="82"/>
        <v>0</v>
      </c>
      <c r="DW47" s="128">
        <v>42041</v>
      </c>
      <c r="DX47" s="128">
        <v>41982</v>
      </c>
      <c r="DY47" s="589">
        <f t="shared" si="83"/>
        <v>-59</v>
      </c>
      <c r="DZ47" s="128"/>
      <c r="EA47" s="128"/>
      <c r="EB47" s="589" t="str">
        <f t="shared" si="84"/>
        <v>0</v>
      </c>
      <c r="EC47" s="128"/>
      <c r="ED47" s="128"/>
      <c r="EE47" s="589" t="str">
        <f t="shared" si="85"/>
        <v>0</v>
      </c>
      <c r="EF47" s="128"/>
      <c r="EG47" s="128"/>
      <c r="EH47" s="589" t="str">
        <f t="shared" si="86"/>
        <v>0</v>
      </c>
      <c r="EI47" s="128"/>
      <c r="EJ47" s="128"/>
      <c r="EK47" s="128"/>
      <c r="EL47" s="589" t="str">
        <f t="shared" si="87"/>
        <v>0</v>
      </c>
      <c r="EM47" s="128">
        <v>42741</v>
      </c>
      <c r="EN47" s="128">
        <v>42767</v>
      </c>
      <c r="EO47" s="589">
        <f t="shared" si="88"/>
        <v>26</v>
      </c>
      <c r="EP47" s="128">
        <v>42824</v>
      </c>
      <c r="EQ47" s="128">
        <v>42807</v>
      </c>
      <c r="ER47" s="589">
        <f t="shared" si="89"/>
        <v>-17</v>
      </c>
      <c r="ES47" s="128">
        <v>42946</v>
      </c>
      <c r="ET47" s="644">
        <v>42895</v>
      </c>
      <c r="EU47" s="593">
        <f t="shared" si="90"/>
        <v>-51</v>
      </c>
      <c r="EV47" s="128"/>
      <c r="EW47" s="128">
        <v>42996</v>
      </c>
      <c r="EX47" s="589" t="str">
        <f t="shared" si="91"/>
        <v>0</v>
      </c>
      <c r="EY47" s="600">
        <v>43038</v>
      </c>
      <c r="EZ47" s="600">
        <f ca="1">IF(EY47&lt;TODAY(),TODAY(),EY47)</f>
        <v>43163</v>
      </c>
      <c r="FA47" s="596">
        <f t="shared" ca="1" si="92"/>
        <v>125</v>
      </c>
      <c r="FB47" s="600">
        <v>43038</v>
      </c>
      <c r="FC47" s="600">
        <f ca="1">IF(FB47&lt;TODAY(),TODAY(),FB47)</f>
        <v>43163</v>
      </c>
      <c r="FD47" s="596">
        <f t="shared" ca="1" si="93"/>
        <v>125</v>
      </c>
      <c r="FE47" s="600">
        <v>43159</v>
      </c>
      <c r="FF47" s="600">
        <f ca="1">IF(FE47&lt;TODAY(),TODAY(),FE47)</f>
        <v>43163</v>
      </c>
      <c r="FG47" s="596">
        <f t="shared" ca="1" si="94"/>
        <v>4</v>
      </c>
      <c r="FH47" s="600">
        <v>43465</v>
      </c>
      <c r="FI47" s="600">
        <f ca="1">IF(FH47&lt;TODAY(),TODAY(),FH47)</f>
        <v>43465</v>
      </c>
      <c r="FJ47" s="596">
        <f t="shared" ca="1" si="95"/>
        <v>0</v>
      </c>
      <c r="FK47" s="600"/>
      <c r="FL47" s="600"/>
      <c r="FM47" s="600"/>
      <c r="FN47" s="600">
        <v>43427</v>
      </c>
      <c r="FO47" s="600">
        <f t="shared" si="111"/>
        <v>43427</v>
      </c>
      <c r="FP47" s="598">
        <f t="shared" si="27"/>
        <v>22</v>
      </c>
      <c r="FQ47" s="600">
        <v>43455</v>
      </c>
      <c r="FR47" s="600">
        <f t="shared" si="112"/>
        <v>43475</v>
      </c>
      <c r="FS47" s="627">
        <v>0</v>
      </c>
      <c r="FT47" s="627">
        <v>0</v>
      </c>
      <c r="FU47" s="627">
        <v>0</v>
      </c>
      <c r="FV47" s="627"/>
      <c r="FW47" s="628">
        <f t="shared" si="96"/>
        <v>-1.1000000000000001</v>
      </c>
      <c r="FX47" s="628">
        <f t="shared" si="29"/>
        <v>0.66666666666666663</v>
      </c>
      <c r="FY47" s="624" t="s">
        <v>30</v>
      </c>
      <c r="FZ47" s="641"/>
      <c r="GA47" s="641"/>
      <c r="GB47" s="641"/>
      <c r="GC47" s="114"/>
      <c r="GD47" s="118"/>
      <c r="GE47" s="10">
        <f>+GO47+GS47+GZ47+HT47</f>
        <v>6578594.558091728</v>
      </c>
      <c r="GF47" s="70">
        <f t="shared" si="105"/>
        <v>6893824</v>
      </c>
      <c r="GG47" s="12"/>
      <c r="GH47" s="23">
        <f>GF47/AI47</f>
        <v>2141.9502373791356</v>
      </c>
      <c r="GI47" s="23">
        <f>GF47/AD47</f>
        <v>125342.25454545455</v>
      </c>
      <c r="GJ47" s="10">
        <v>5462235</v>
      </c>
      <c r="GK47" s="11">
        <v>5874333.7564800717</v>
      </c>
      <c r="GL47" s="12">
        <f t="shared" si="97"/>
        <v>412098.75648007169</v>
      </c>
      <c r="GM47" s="137">
        <f t="shared" si="101"/>
        <v>0.87000984727288555</v>
      </c>
      <c r="GN47" s="139">
        <v>0.39772600000000002</v>
      </c>
      <c r="GO47" s="10">
        <v>1733988.3513843757</v>
      </c>
      <c r="GP47" s="11">
        <v>1928374</v>
      </c>
      <c r="GQ47" s="23">
        <f>GP47/AD47</f>
        <v>35061.345454545452</v>
      </c>
      <c r="GR47" s="38">
        <f>GP47-GO47</f>
        <v>194385.64861562429</v>
      </c>
      <c r="GS47" s="10">
        <v>3744606.2067073518</v>
      </c>
      <c r="GT47" s="11">
        <f>GV47+GU47</f>
        <v>3865450</v>
      </c>
      <c r="GU47" s="13">
        <v>735184</v>
      </c>
      <c r="GV47" s="13">
        <v>3130266</v>
      </c>
      <c r="GW47" s="38">
        <f t="shared" si="115"/>
        <v>120843.79329264816</v>
      </c>
      <c r="GX47" s="23">
        <f>GT47/AD47</f>
        <v>70280.909090909088</v>
      </c>
      <c r="GY47" s="11"/>
      <c r="GZ47" s="10">
        <f>1100000*1</f>
        <v>1100000</v>
      </c>
      <c r="HA47" s="11">
        <v>1100000</v>
      </c>
      <c r="HB47" s="70">
        <v>0</v>
      </c>
      <c r="HC47" s="41">
        <f>HA47/GF47</f>
        <v>0.15956311040142598</v>
      </c>
      <c r="HD47" s="329"/>
      <c r="HE47" s="11">
        <v>0</v>
      </c>
      <c r="HF47" s="24">
        <f t="shared" si="62"/>
        <v>0</v>
      </c>
      <c r="HG47" s="23">
        <f>HA47/AD47</f>
        <v>20000</v>
      </c>
      <c r="HH47" s="84">
        <f>(GP47+HA47)/AD47</f>
        <v>55061.345454545452</v>
      </c>
      <c r="HI47" s="24" t="e">
        <f>HF47/#REF!</f>
        <v>#REF!</v>
      </c>
      <c r="HJ47" s="50">
        <v>5.78</v>
      </c>
      <c r="HK47" s="50">
        <v>5.69</v>
      </c>
      <c r="HL47" s="40">
        <v>0</v>
      </c>
      <c r="HM47" s="40">
        <v>0</v>
      </c>
      <c r="HN47" s="23">
        <f t="shared" si="107"/>
        <v>55061.345454545452</v>
      </c>
      <c r="HO47" s="40">
        <v>0</v>
      </c>
      <c r="HP47" s="23">
        <f t="shared" si="108"/>
        <v>55061.345454545452</v>
      </c>
      <c r="HQ47" s="53">
        <f t="shared" si="45"/>
        <v>0.43928797718073453</v>
      </c>
      <c r="HR47" s="40">
        <v>0</v>
      </c>
      <c r="HS47" s="40"/>
      <c r="HT47" s="11">
        <v>0</v>
      </c>
      <c r="HU47" s="42">
        <f t="shared" si="98"/>
        <v>6893824</v>
      </c>
      <c r="HV47" s="296">
        <v>234959.82488479264</v>
      </c>
      <c r="HW47" s="296">
        <f t="shared" si="99"/>
        <v>176219.96313364056</v>
      </c>
      <c r="HX47" s="119"/>
      <c r="HY47" s="245"/>
      <c r="HZ47" s="245"/>
      <c r="IA47" s="119"/>
      <c r="IB47" s="119"/>
      <c r="IC47" s="245"/>
      <c r="ID47" s="119"/>
      <c r="IE47" s="245"/>
      <c r="IF47" s="119"/>
      <c r="IG47" s="245"/>
      <c r="IH47" s="120"/>
      <c r="II47" s="350"/>
      <c r="IJ47" s="341"/>
      <c r="IK47" s="341"/>
      <c r="IL47" s="128"/>
      <c r="IM47" s="245">
        <v>129228</v>
      </c>
      <c r="IN47" s="206">
        <v>42828</v>
      </c>
      <c r="IO47" s="361">
        <v>23495.981566820275</v>
      </c>
      <c r="IP47" s="206">
        <v>43017</v>
      </c>
      <c r="IQ47" s="361">
        <v>11747.990783410138</v>
      </c>
      <c r="IR47" s="206">
        <v>43047</v>
      </c>
      <c r="IS47" s="361">
        <v>11747.990783410138</v>
      </c>
      <c r="IT47" s="289"/>
      <c r="IU47" s="289"/>
      <c r="IV47" s="289"/>
      <c r="IW47" s="289"/>
      <c r="IX47" s="289"/>
      <c r="IY47" s="289"/>
      <c r="IZ47" s="245"/>
      <c r="JA47" s="128"/>
      <c r="JB47" s="120"/>
      <c r="JC47" s="128"/>
      <c r="JD47" s="128"/>
      <c r="JE47" s="120"/>
    </row>
    <row r="48" spans="1:265" ht="30" customHeight="1">
      <c r="A48" s="6" t="s">
        <v>444</v>
      </c>
      <c r="B48" s="7" t="s">
        <v>35</v>
      </c>
      <c r="C48" s="7" t="s">
        <v>117</v>
      </c>
      <c r="D48" s="7">
        <v>2015</v>
      </c>
      <c r="E48" s="7" t="s">
        <v>268</v>
      </c>
      <c r="F48" s="7" t="s">
        <v>340</v>
      </c>
      <c r="G48" s="7" t="s">
        <v>188</v>
      </c>
      <c r="H48" s="56" t="s">
        <v>182</v>
      </c>
      <c r="I48" s="56"/>
      <c r="J48" s="56"/>
      <c r="K48" s="275" t="s">
        <v>686</v>
      </c>
      <c r="L48" s="173" t="s">
        <v>290</v>
      </c>
      <c r="M48" s="504"/>
      <c r="N48" s="110"/>
      <c r="O48" s="219">
        <v>8838</v>
      </c>
      <c r="P48" s="219">
        <v>652080</v>
      </c>
      <c r="Q48" s="219">
        <f>P48</f>
        <v>652080</v>
      </c>
      <c r="R48" s="219">
        <f>P48/89</f>
        <v>7326.7415730337079</v>
      </c>
      <c r="S48" s="219">
        <f t="shared" si="66"/>
        <v>73.78139850644942</v>
      </c>
      <c r="T48" s="225">
        <f t="shared" si="67"/>
        <v>73.78139850644942</v>
      </c>
      <c r="U48" s="225">
        <f t="shared" si="69"/>
        <v>335.48387096774195</v>
      </c>
      <c r="V48" s="225">
        <f t="shared" si="70"/>
        <v>32604</v>
      </c>
      <c r="W48" s="219">
        <f t="shared" si="71"/>
        <v>441.9</v>
      </c>
      <c r="X48" s="220"/>
      <c r="Y48" s="221">
        <f t="shared" si="72"/>
        <v>0.21992532247114732</v>
      </c>
      <c r="Z48" s="220" t="s">
        <v>197</v>
      </c>
      <c r="AA48" s="222">
        <v>630</v>
      </c>
      <c r="AB48" s="223">
        <v>0</v>
      </c>
      <c r="AC48" s="20" t="s">
        <v>15</v>
      </c>
      <c r="AD48" s="345">
        <f t="shared" si="75"/>
        <v>20</v>
      </c>
      <c r="AE48" s="7">
        <v>20</v>
      </c>
      <c r="AF48" s="8"/>
      <c r="AG48" s="67"/>
      <c r="AH48" s="67"/>
      <c r="AI48" s="9">
        <v>1853.17</v>
      </c>
      <c r="AJ48" s="466">
        <v>1943.7</v>
      </c>
      <c r="AK48" s="9">
        <f t="shared" si="113"/>
        <v>97.185000000000002</v>
      </c>
      <c r="AL48" s="81"/>
      <c r="AM48" s="81"/>
      <c r="AN48" s="81"/>
      <c r="AO48" s="81">
        <f>16/AD48</f>
        <v>0.8</v>
      </c>
      <c r="AP48" s="81">
        <f>4/AD48</f>
        <v>0.2</v>
      </c>
      <c r="AQ48" s="9"/>
      <c r="AR48" s="79">
        <v>0</v>
      </c>
      <c r="AS48" s="81">
        <v>0</v>
      </c>
      <c r="AT48" s="60">
        <v>4</v>
      </c>
      <c r="AU48" s="59" t="s">
        <v>621</v>
      </c>
      <c r="AV48" s="7" t="s">
        <v>125</v>
      </c>
      <c r="AW48" s="196">
        <v>42031</v>
      </c>
      <c r="AX48" s="56"/>
      <c r="AY48" s="113" t="s">
        <v>12</v>
      </c>
      <c r="AZ48" s="113" t="s">
        <v>300</v>
      </c>
      <c r="BA48" s="36"/>
      <c r="BB48" s="216">
        <v>42354</v>
      </c>
      <c r="BC48" s="102"/>
      <c r="BD48" s="102"/>
      <c r="BE48" s="216"/>
      <c r="BF48" s="102"/>
      <c r="BG48" s="171">
        <v>42899</v>
      </c>
      <c r="BH48" s="214">
        <v>42929</v>
      </c>
      <c r="BI48" s="172">
        <v>43013</v>
      </c>
      <c r="BJ48" s="172">
        <v>42943</v>
      </c>
      <c r="BK48" s="323">
        <f>BI48</f>
        <v>43013</v>
      </c>
      <c r="BL48" s="322">
        <f t="shared" si="2"/>
        <v>43743</v>
      </c>
      <c r="BM48" s="322">
        <f t="shared" si="3"/>
        <v>44109</v>
      </c>
      <c r="BN48" s="322" t="str">
        <f>IF(CW48&gt;BL48,"oui","non")</f>
        <v>oui</v>
      </c>
      <c r="BO48" s="171">
        <v>42920</v>
      </c>
      <c r="BP48" s="37" t="s">
        <v>711</v>
      </c>
      <c r="BQ48" s="103">
        <v>43025</v>
      </c>
      <c r="BR48" s="104"/>
      <c r="BS48" s="104"/>
      <c r="BT48" s="107"/>
      <c r="BU48" s="505"/>
      <c r="BV48" s="174" t="s">
        <v>473</v>
      </c>
      <c r="BW48" s="268"/>
      <c r="BX48" s="168"/>
      <c r="BY48" s="174" t="e">
        <f t="shared" si="110"/>
        <v>#VALUE!</v>
      </c>
      <c r="BZ48" s="268" t="e">
        <f>DATE(YEAR(BV48),MONTH(BV48)+24,DAY(BV48))</f>
        <v>#VALUE!</v>
      </c>
      <c r="CA48" s="268"/>
      <c r="CB48" s="268" t="s">
        <v>177</v>
      </c>
      <c r="CC48" s="682"/>
      <c r="CD48" s="509"/>
      <c r="CE48" s="492">
        <v>43129</v>
      </c>
      <c r="CF48" s="493"/>
      <c r="CG48" s="499">
        <f t="shared" si="76"/>
        <v>25.833333333333332</v>
      </c>
      <c r="CH48" s="273">
        <v>21</v>
      </c>
      <c r="CI48" s="273">
        <f t="shared" si="100"/>
        <v>22</v>
      </c>
      <c r="CJ48" s="257">
        <f t="shared" si="77"/>
        <v>21</v>
      </c>
      <c r="CK48" s="257">
        <f t="shared" si="78"/>
        <v>21</v>
      </c>
      <c r="CL48" s="257">
        <f t="shared" si="79"/>
        <v>0</v>
      </c>
      <c r="CM48" s="257">
        <f t="shared" si="80"/>
        <v>-1</v>
      </c>
      <c r="CN48" s="263"/>
      <c r="CO48" s="263">
        <f t="shared" si="104"/>
        <v>0</v>
      </c>
      <c r="CP48" s="258"/>
      <c r="CQ48" s="708">
        <f t="shared" si="81"/>
        <v>43767</v>
      </c>
      <c r="CR48" s="446">
        <f>DATE(YEAR(CE48),MONTH(CE48)+CH48,DAY(CE48))</f>
        <v>43767</v>
      </c>
      <c r="CS48" s="388">
        <f t="shared" si="114"/>
        <v>731</v>
      </c>
      <c r="CT48" s="258"/>
      <c r="CU48" s="258"/>
      <c r="CV48" s="650">
        <f>DATE(YEAR(CR48),MONTH(CR48),DAY(CR48)+2)</f>
        <v>43769</v>
      </c>
      <c r="CW48" s="506">
        <v>43777</v>
      </c>
      <c r="CX48" s="654"/>
      <c r="CY48" s="292"/>
      <c r="CZ48" s="127"/>
      <c r="DA48" s="127"/>
      <c r="DB48" s="127"/>
      <c r="DC48" s="127"/>
      <c r="DD48" s="127"/>
      <c r="DE48" s="56"/>
      <c r="DF48" s="56"/>
      <c r="DG48" s="56"/>
      <c r="DH48" s="56"/>
      <c r="DI48" s="56"/>
      <c r="DJ48" s="56"/>
      <c r="DK48" s="56"/>
      <c r="DL48" s="56"/>
      <c r="DM48" s="56"/>
      <c r="DN48" s="56"/>
      <c r="DO48" s="56"/>
      <c r="DP48" s="56"/>
      <c r="DQ48" s="56"/>
      <c r="DR48" s="56"/>
      <c r="DS48" s="128">
        <v>41907</v>
      </c>
      <c r="DT48" s="128">
        <v>41921</v>
      </c>
      <c r="DU48" s="128">
        <v>41921</v>
      </c>
      <c r="DV48" s="589">
        <f t="shared" si="82"/>
        <v>0</v>
      </c>
      <c r="DW48" s="128">
        <v>41999</v>
      </c>
      <c r="DX48" s="128">
        <v>42040</v>
      </c>
      <c r="DY48" s="589">
        <f t="shared" si="83"/>
        <v>41</v>
      </c>
      <c r="DZ48" s="128">
        <v>42020</v>
      </c>
      <c r="EA48" s="128">
        <v>42054</v>
      </c>
      <c r="EB48" s="589">
        <f t="shared" si="84"/>
        <v>34</v>
      </c>
      <c r="EC48" s="128">
        <v>42100</v>
      </c>
      <c r="ED48" s="128">
        <v>42136</v>
      </c>
      <c r="EE48" s="589">
        <f t="shared" si="85"/>
        <v>36</v>
      </c>
      <c r="EF48" s="128">
        <v>42177</v>
      </c>
      <c r="EG48" s="128">
        <v>42254</v>
      </c>
      <c r="EH48" s="589">
        <f t="shared" si="86"/>
        <v>77</v>
      </c>
      <c r="EI48" s="128">
        <v>42514</v>
      </c>
      <c r="EJ48" s="128">
        <v>43042</v>
      </c>
      <c r="EK48" s="128">
        <v>43088</v>
      </c>
      <c r="EL48" s="589">
        <f t="shared" si="87"/>
        <v>46</v>
      </c>
      <c r="EM48" s="128">
        <v>43115</v>
      </c>
      <c r="EN48" s="128">
        <v>43129</v>
      </c>
      <c r="EO48" s="589">
        <f t="shared" si="88"/>
        <v>14</v>
      </c>
      <c r="EP48" s="600"/>
      <c r="EQ48" s="600">
        <f ca="1">IF(EP48&lt;TODAY(),TODAY(),EP48)</f>
        <v>43163</v>
      </c>
      <c r="ER48" s="596" t="str">
        <f t="shared" ca="1" si="89"/>
        <v>0</v>
      </c>
      <c r="ES48" s="600"/>
      <c r="ET48" s="622">
        <f ca="1">IF(ES48&lt;TODAY(),TODAY(),ES48)</f>
        <v>43163</v>
      </c>
      <c r="EU48" s="597" t="str">
        <f t="shared" ca="1" si="90"/>
        <v>0</v>
      </c>
      <c r="EV48" s="600"/>
      <c r="EW48" s="600">
        <f ca="1">IF(EV48&lt;TODAY(),TODAY(),EV48)</f>
        <v>43163</v>
      </c>
      <c r="EX48" s="596" t="str">
        <f t="shared" ca="1" si="91"/>
        <v>0</v>
      </c>
      <c r="EY48" s="594"/>
      <c r="EZ48" s="600">
        <f ca="1">IF(EY48&lt;TODAY(),TODAY(),EY48)</f>
        <v>43163</v>
      </c>
      <c r="FA48" s="596" t="str">
        <f t="shared" ca="1" si="92"/>
        <v>0</v>
      </c>
      <c r="FB48" s="600"/>
      <c r="FC48" s="600"/>
      <c r="FD48" s="596" t="str">
        <f t="shared" si="93"/>
        <v>0</v>
      </c>
      <c r="FE48" s="600"/>
      <c r="FF48" s="600"/>
      <c r="FG48" s="596" t="str">
        <f t="shared" si="94"/>
        <v>0</v>
      </c>
      <c r="FH48" s="600"/>
      <c r="FI48" s="600"/>
      <c r="FJ48" s="596" t="str">
        <f t="shared" si="95"/>
        <v>0</v>
      </c>
      <c r="FK48" s="602"/>
      <c r="FL48" s="602"/>
      <c r="FM48" s="602"/>
      <c r="FN48" s="600">
        <v>43767</v>
      </c>
      <c r="FO48" s="600">
        <f t="shared" si="111"/>
        <v>43767</v>
      </c>
      <c r="FP48" s="598">
        <f t="shared" si="27"/>
        <v>21.266666666666666</v>
      </c>
      <c r="FQ48" s="600">
        <v>43777</v>
      </c>
      <c r="FR48" s="600">
        <f t="shared" si="112"/>
        <v>43777</v>
      </c>
      <c r="FS48" s="627"/>
      <c r="FT48" s="627"/>
      <c r="FU48" s="627">
        <v>475800</v>
      </c>
      <c r="FV48" s="627"/>
      <c r="FW48" s="628">
        <f t="shared" si="96"/>
        <v>8.2666666666666675</v>
      </c>
      <c r="FX48" s="628">
        <f t="shared" si="29"/>
        <v>0</v>
      </c>
      <c r="FY48" s="624" t="s">
        <v>815</v>
      </c>
      <c r="FZ48" s="641" t="s">
        <v>870</v>
      </c>
      <c r="GA48" s="641" t="s">
        <v>876</v>
      </c>
      <c r="GB48" s="641"/>
      <c r="GC48" s="114"/>
      <c r="GD48" s="118"/>
      <c r="GE48" s="10">
        <f>GO48+GS48+GZ48</f>
        <v>3620927.386608588</v>
      </c>
      <c r="GF48" s="70">
        <f t="shared" si="105"/>
        <v>3410337.9396867752</v>
      </c>
      <c r="GG48" s="12">
        <f t="shared" ref="GG48:GG62" si="116">GF48-GE48</f>
        <v>-210589.44692181284</v>
      </c>
      <c r="GH48" s="23">
        <f>GE48/AI48</f>
        <v>1953.9099956337454</v>
      </c>
      <c r="GI48" s="23">
        <f>GE48/AD48</f>
        <v>181046.36933042941</v>
      </c>
      <c r="GJ48" s="10">
        <v>3320758.5701554646</v>
      </c>
      <c r="GK48" s="11">
        <v>3416358.2225748161</v>
      </c>
      <c r="GL48" s="12">
        <f t="shared" si="97"/>
        <v>95599.652419351507</v>
      </c>
      <c r="GM48" s="137">
        <f t="shared" si="101"/>
        <v>1.0228023752887239</v>
      </c>
      <c r="GN48" s="139">
        <v>0.39</v>
      </c>
      <c r="GO48" s="10">
        <v>1232699.6352114086</v>
      </c>
      <c r="GP48" s="516">
        <v>1114138.939686775</v>
      </c>
      <c r="GQ48" s="23">
        <f>GO48/AD48</f>
        <v>61634.98176057043</v>
      </c>
      <c r="GR48" s="38">
        <f>GP48-GO48</f>
        <v>-118560.69552463363</v>
      </c>
      <c r="GS48" s="10">
        <v>2188227.7513971794</v>
      </c>
      <c r="GT48" s="516">
        <f t="shared" ref="GT48:GT62" si="117">GU48+GV48</f>
        <v>2066681</v>
      </c>
      <c r="GU48" s="517">
        <v>309940</v>
      </c>
      <c r="GV48" s="517">
        <v>1756741</v>
      </c>
      <c r="GW48" s="38">
        <f t="shared" si="115"/>
        <v>-121546.75139717944</v>
      </c>
      <c r="GX48" s="23">
        <f>GS48/AD48</f>
        <v>109411.38756985897</v>
      </c>
      <c r="GY48" s="11"/>
      <c r="GZ48" s="10">
        <v>200000</v>
      </c>
      <c r="HA48" s="11">
        <v>200000</v>
      </c>
      <c r="HB48" s="70"/>
      <c r="HC48" s="41">
        <f>GZ48/GE48</f>
        <v>5.5234468589364018E-2</v>
      </c>
      <c r="HD48" s="329"/>
      <c r="HE48" s="11">
        <v>29518</v>
      </c>
      <c r="HF48" s="24">
        <f t="shared" si="62"/>
        <v>0</v>
      </c>
      <c r="HG48" s="23">
        <f>GZ48/AD48</f>
        <v>10000</v>
      </c>
      <c r="HH48" s="84">
        <f>(GO48+GZ48)/AD48</f>
        <v>71634.98176057043</v>
      </c>
      <c r="HI48" s="24">
        <f t="shared" ref="HI48:HI77" si="118">HF48/AD48</f>
        <v>0</v>
      </c>
      <c r="HJ48" s="51">
        <v>6.32</v>
      </c>
      <c r="HK48" s="51">
        <v>5.48</v>
      </c>
      <c r="HL48" s="40">
        <v>0</v>
      </c>
      <c r="HM48" s="40">
        <v>0</v>
      </c>
      <c r="HN48" s="23">
        <f t="shared" si="107"/>
        <v>65706.946984338749</v>
      </c>
      <c r="HO48" s="40">
        <v>0</v>
      </c>
      <c r="HP48" s="23">
        <f t="shared" si="108"/>
        <v>65706.946984338749</v>
      </c>
      <c r="HQ48" s="53">
        <f t="shared" si="45"/>
        <v>0.38533980002212714</v>
      </c>
      <c r="HR48" s="40">
        <v>0</v>
      </c>
      <c r="HS48" s="40"/>
      <c r="HT48" s="11">
        <v>0</v>
      </c>
      <c r="HU48" s="42">
        <f t="shared" si="98"/>
        <v>3410337.9396867752</v>
      </c>
      <c r="HV48" s="296">
        <v>685491</v>
      </c>
      <c r="HW48" s="296">
        <f t="shared" si="99"/>
        <v>411294</v>
      </c>
      <c r="HX48" s="119">
        <v>41936</v>
      </c>
      <c r="HY48" s="245">
        <v>67842</v>
      </c>
      <c r="HZ48" s="245"/>
      <c r="IA48" s="119"/>
      <c r="IB48" s="119">
        <v>41992</v>
      </c>
      <c r="IC48" s="245">
        <v>33921</v>
      </c>
      <c r="ID48" s="119">
        <v>42065</v>
      </c>
      <c r="IE48" s="245">
        <v>72217</v>
      </c>
      <c r="IF48" s="119">
        <v>42121</v>
      </c>
      <c r="IG48" s="245">
        <v>65293</v>
      </c>
      <c r="IH48" s="120"/>
      <c r="II48" s="350">
        <v>103472</v>
      </c>
      <c r="IJ48" s="341"/>
      <c r="IK48" s="341"/>
      <c r="IL48" s="128"/>
      <c r="IM48" s="486"/>
      <c r="IN48" s="128">
        <v>43083</v>
      </c>
      <c r="IO48" s="245">
        <v>68549</v>
      </c>
      <c r="IP48" s="326"/>
      <c r="IQ48" s="326"/>
      <c r="IR48" s="326"/>
      <c r="IS48" s="326"/>
      <c r="IT48" s="289"/>
      <c r="IU48" s="289"/>
      <c r="IV48" s="289"/>
      <c r="IW48" s="289"/>
      <c r="IX48" s="289"/>
      <c r="IY48" s="289"/>
      <c r="IZ48" s="245">
        <v>72217</v>
      </c>
      <c r="JA48" s="128"/>
      <c r="JB48" s="120"/>
      <c r="JC48" s="128"/>
      <c r="JD48" s="128"/>
      <c r="JE48" s="120"/>
    </row>
    <row r="49" spans="1:265" ht="24.95" customHeight="1">
      <c r="A49" s="6" t="s">
        <v>380</v>
      </c>
      <c r="B49" s="7" t="s">
        <v>35</v>
      </c>
      <c r="C49" s="7" t="s">
        <v>117</v>
      </c>
      <c r="D49" s="7">
        <v>2016</v>
      </c>
      <c r="E49" s="7" t="s">
        <v>268</v>
      </c>
      <c r="F49" s="7" t="s">
        <v>340</v>
      </c>
      <c r="G49" s="6"/>
      <c r="H49" s="7"/>
      <c r="I49" s="56"/>
      <c r="J49" s="56"/>
      <c r="K49" s="275" t="s">
        <v>686</v>
      </c>
      <c r="L49" s="173" t="s">
        <v>290</v>
      </c>
      <c r="M49" s="109" t="s">
        <v>154</v>
      </c>
      <c r="N49" s="110"/>
      <c r="O49" s="219">
        <v>8838</v>
      </c>
      <c r="P49" s="219">
        <v>652080</v>
      </c>
      <c r="Q49" s="219">
        <f>P49</f>
        <v>652080</v>
      </c>
      <c r="R49" s="219">
        <f>P49/89</f>
        <v>7326.7415730337079</v>
      </c>
      <c r="S49" s="219">
        <f t="shared" si="66"/>
        <v>73.78139850644942</v>
      </c>
      <c r="T49" s="225">
        <f t="shared" si="67"/>
        <v>73.78139850644942</v>
      </c>
      <c r="U49" s="225">
        <f t="shared" si="69"/>
        <v>130.36333321338179</v>
      </c>
      <c r="V49" s="225">
        <f t="shared" si="70"/>
        <v>9450.434782608696</v>
      </c>
      <c r="W49" s="219">
        <f t="shared" si="71"/>
        <v>128.08695652173913</v>
      </c>
      <c r="X49" s="220"/>
      <c r="Y49" s="221">
        <f t="shared" si="72"/>
        <v>0.56596741344195522</v>
      </c>
      <c r="Z49" s="220" t="s">
        <v>197</v>
      </c>
      <c r="AA49" s="222">
        <v>630</v>
      </c>
      <c r="AB49" s="223">
        <v>0</v>
      </c>
      <c r="AC49" s="20" t="s">
        <v>16</v>
      </c>
      <c r="AD49" s="345">
        <f t="shared" si="75"/>
        <v>69</v>
      </c>
      <c r="AE49" s="8"/>
      <c r="AF49" s="7">
        <v>69</v>
      </c>
      <c r="AG49" s="56"/>
      <c r="AH49" s="56"/>
      <c r="AI49" s="9">
        <v>4692.6549999999988</v>
      </c>
      <c r="AJ49" s="466">
        <v>5002.0200000000004</v>
      </c>
      <c r="AK49" s="9">
        <f t="shared" si="113"/>
        <v>72.493043478260873</v>
      </c>
      <c r="AL49" s="81">
        <f>12/AD49</f>
        <v>0.17391304347826086</v>
      </c>
      <c r="AM49" s="81">
        <f>29/AD49</f>
        <v>0.42028985507246375</v>
      </c>
      <c r="AN49" s="81">
        <f>28/AD49</f>
        <v>0.40579710144927539</v>
      </c>
      <c r="AO49" s="81">
        <v>0</v>
      </c>
      <c r="AP49" s="81">
        <v>0</v>
      </c>
      <c r="AQ49" s="9"/>
      <c r="AR49" s="79">
        <v>0</v>
      </c>
      <c r="AS49" s="81">
        <v>0</v>
      </c>
      <c r="AT49" s="60">
        <v>4</v>
      </c>
      <c r="AU49" s="59" t="s">
        <v>621</v>
      </c>
      <c r="AV49" s="7" t="s">
        <v>125</v>
      </c>
      <c r="AW49" s="252">
        <v>42031</v>
      </c>
      <c r="AX49" s="252">
        <v>42475</v>
      </c>
      <c r="AY49" s="113" t="s">
        <v>12</v>
      </c>
      <c r="AZ49" s="113" t="s">
        <v>300</v>
      </c>
      <c r="BA49" s="36"/>
      <c r="BB49" s="216">
        <v>42462</v>
      </c>
      <c r="BC49" s="102"/>
      <c r="BD49" s="102"/>
      <c r="BE49" s="216"/>
      <c r="BF49" s="102"/>
      <c r="BG49" s="171">
        <v>42899</v>
      </c>
      <c r="BH49" s="214">
        <v>42929</v>
      </c>
      <c r="BI49" s="172">
        <v>43013</v>
      </c>
      <c r="BJ49" s="172">
        <v>42943</v>
      </c>
      <c r="BK49" s="323">
        <f>BI49</f>
        <v>43013</v>
      </c>
      <c r="BL49" s="322">
        <f t="shared" si="2"/>
        <v>43743</v>
      </c>
      <c r="BM49" s="322">
        <f t="shared" si="3"/>
        <v>44109</v>
      </c>
      <c r="BN49" s="322" t="str">
        <f>IF(CW49&gt;BL49,"oui","non")</f>
        <v>oui</v>
      </c>
      <c r="BO49" s="171">
        <v>42920</v>
      </c>
      <c r="BP49" s="37" t="s">
        <v>690</v>
      </c>
      <c r="BQ49" s="103">
        <v>43025</v>
      </c>
      <c r="BR49" s="104"/>
      <c r="BS49" s="104"/>
      <c r="BT49" s="104"/>
      <c r="BU49" s="167" t="s">
        <v>72</v>
      </c>
      <c r="BV49" s="174"/>
      <c r="BW49" s="268"/>
      <c r="BX49" s="168"/>
      <c r="BY49" s="174">
        <f t="shared" si="110"/>
        <v>547</v>
      </c>
      <c r="BZ49" s="268"/>
      <c r="CA49" s="268"/>
      <c r="CB49" s="268" t="s">
        <v>177</v>
      </c>
      <c r="CC49" s="682"/>
      <c r="CD49" s="509"/>
      <c r="CE49" s="492">
        <v>43129</v>
      </c>
      <c r="CF49" s="493"/>
      <c r="CG49" s="499">
        <f t="shared" si="76"/>
        <v>22.233333333333334</v>
      </c>
      <c r="CH49" s="273">
        <v>21</v>
      </c>
      <c r="CI49" s="273">
        <f t="shared" si="100"/>
        <v>22</v>
      </c>
      <c r="CJ49" s="257">
        <f t="shared" si="77"/>
        <v>21</v>
      </c>
      <c r="CK49" s="257">
        <f t="shared" si="78"/>
        <v>21</v>
      </c>
      <c r="CL49" s="257">
        <f t="shared" si="79"/>
        <v>0</v>
      </c>
      <c r="CM49" s="257">
        <f t="shared" si="80"/>
        <v>-1</v>
      </c>
      <c r="CN49" s="263"/>
      <c r="CO49" s="263">
        <f t="shared" si="104"/>
        <v>0</v>
      </c>
      <c r="CP49" s="258"/>
      <c r="CQ49" s="699">
        <f t="shared" si="81"/>
        <v>43767</v>
      </c>
      <c r="CR49" s="446">
        <f>DATE(YEAR(CE49),MONTH(CE49)+CH49,DAY(CE49))</f>
        <v>43767</v>
      </c>
      <c r="CS49" s="388">
        <f t="shared" si="114"/>
        <v>731</v>
      </c>
      <c r="CT49" s="258"/>
      <c r="CU49" s="258"/>
      <c r="CV49" s="650">
        <f>DATE(YEAR(CR49),MONTH(CR49),DAY(CR49)+2)</f>
        <v>43769</v>
      </c>
      <c r="CW49" s="506">
        <v>43777</v>
      </c>
      <c r="CX49" s="654"/>
      <c r="CY49" s="292"/>
      <c r="CZ49" s="127"/>
      <c r="DA49" s="127"/>
      <c r="DB49" s="127"/>
      <c r="DC49" s="127"/>
      <c r="DD49" s="127"/>
      <c r="DE49" s="56"/>
      <c r="DF49" s="56"/>
      <c r="DG49" s="56"/>
      <c r="DH49" s="56"/>
      <c r="DI49" s="56"/>
      <c r="DJ49" s="56"/>
      <c r="DK49" s="56"/>
      <c r="DL49" s="56"/>
      <c r="DM49" s="56"/>
      <c r="DN49" s="56"/>
      <c r="DO49" s="56"/>
      <c r="DP49" s="56"/>
      <c r="DQ49" s="56"/>
      <c r="DR49" s="56"/>
      <c r="DS49" s="128"/>
      <c r="DT49" s="120"/>
      <c r="DU49" s="120"/>
      <c r="DV49" s="589" t="str">
        <f t="shared" si="82"/>
        <v>0</v>
      </c>
      <c r="DW49" s="128"/>
      <c r="DX49" s="128"/>
      <c r="DY49" s="589" t="str">
        <f t="shared" si="83"/>
        <v>0</v>
      </c>
      <c r="DZ49" s="135"/>
      <c r="EA49" s="128"/>
      <c r="EB49" s="589" t="str">
        <f t="shared" si="84"/>
        <v>0</v>
      </c>
      <c r="EC49" s="135"/>
      <c r="ED49" s="128"/>
      <c r="EE49" s="589" t="str">
        <f t="shared" si="85"/>
        <v>0</v>
      </c>
      <c r="EF49" s="135"/>
      <c r="EG49" s="646"/>
      <c r="EH49" s="589" t="str">
        <f t="shared" si="86"/>
        <v>0</v>
      </c>
      <c r="EI49" s="245"/>
      <c r="EJ49" s="128"/>
      <c r="EK49" s="245"/>
      <c r="EL49" s="589" t="str">
        <f t="shared" si="87"/>
        <v>0</v>
      </c>
      <c r="EM49" s="128"/>
      <c r="EN49" s="245"/>
      <c r="EO49" s="589" t="str">
        <f t="shared" si="88"/>
        <v>0</v>
      </c>
      <c r="EP49" s="600"/>
      <c r="EQ49" s="595"/>
      <c r="ER49" s="596" t="str">
        <f t="shared" si="89"/>
        <v>0</v>
      </c>
      <c r="ES49" s="600"/>
      <c r="ET49" s="622"/>
      <c r="EU49" s="597" t="str">
        <f t="shared" si="90"/>
        <v>0</v>
      </c>
      <c r="EV49" s="598"/>
      <c r="EW49" s="599"/>
      <c r="EX49" s="596" t="str">
        <f t="shared" si="91"/>
        <v>0</v>
      </c>
      <c r="EY49" s="595"/>
      <c r="EZ49" s="600"/>
      <c r="FA49" s="596" t="str">
        <f t="shared" si="92"/>
        <v>0</v>
      </c>
      <c r="FB49" s="604"/>
      <c r="FC49" s="604"/>
      <c r="FD49" s="596" t="str">
        <f t="shared" si="93"/>
        <v>0</v>
      </c>
      <c r="FE49" s="604"/>
      <c r="FF49" s="602"/>
      <c r="FG49" s="596" t="str">
        <f t="shared" si="94"/>
        <v>0</v>
      </c>
      <c r="FH49" s="602"/>
      <c r="FI49" s="602"/>
      <c r="FJ49" s="596" t="str">
        <f t="shared" si="95"/>
        <v>0</v>
      </c>
      <c r="FK49" s="602"/>
      <c r="FL49" s="602"/>
      <c r="FM49" s="602"/>
      <c r="FN49" s="602"/>
      <c r="FO49" s="600">
        <f t="shared" si="111"/>
        <v>43767</v>
      </c>
      <c r="FP49" s="598">
        <f t="shared" si="27"/>
        <v>0</v>
      </c>
      <c r="FQ49" s="602"/>
      <c r="FR49" s="600">
        <f t="shared" si="112"/>
        <v>43777</v>
      </c>
      <c r="FS49" s="627"/>
      <c r="FT49" s="627"/>
      <c r="FU49" s="627"/>
      <c r="FV49" s="627"/>
      <c r="FW49" s="628">
        <f t="shared" si="96"/>
        <v>0</v>
      </c>
      <c r="FX49" s="628"/>
      <c r="FY49" s="624"/>
      <c r="FZ49" s="641"/>
      <c r="GA49" s="641"/>
      <c r="GB49" s="624"/>
      <c r="GC49" s="114"/>
      <c r="GD49" s="118"/>
      <c r="GE49" s="10">
        <f>GF49</f>
        <v>9081495.0373618677</v>
      </c>
      <c r="GF49" s="70">
        <f t="shared" si="105"/>
        <v>9081495.0373618677</v>
      </c>
      <c r="GG49" s="12">
        <f t="shared" si="116"/>
        <v>0</v>
      </c>
      <c r="GH49" s="23">
        <f>GF49/AI49</f>
        <v>1935.2573409640961</v>
      </c>
      <c r="GI49" s="23">
        <f>GF49/AD49</f>
        <v>131615.87010669374</v>
      </c>
      <c r="GJ49" s="10">
        <f>GK49</f>
        <v>8791836.2692203913</v>
      </c>
      <c r="GK49" s="11">
        <v>8791836.2692203913</v>
      </c>
      <c r="GL49" s="12">
        <f t="shared" si="97"/>
        <v>0</v>
      </c>
      <c r="GM49" s="137">
        <f t="shared" si="101"/>
        <v>0.98843470088837271</v>
      </c>
      <c r="GN49" s="139">
        <v>0.39500000000000002</v>
      </c>
      <c r="GO49" s="10">
        <f>GP49</f>
        <v>2943213.0373618677</v>
      </c>
      <c r="GP49" s="508">
        <v>2943213.0373618677</v>
      </c>
      <c r="GQ49" s="23">
        <f>GP49/AD49</f>
        <v>42655.26141104156</v>
      </c>
      <c r="GR49" s="38">
        <f>GP49-GO49</f>
        <v>0</v>
      </c>
      <c r="GS49" s="10">
        <f>GT49</f>
        <v>5336445</v>
      </c>
      <c r="GT49" s="508">
        <f t="shared" si="117"/>
        <v>5336445</v>
      </c>
      <c r="GU49" s="518">
        <v>746372</v>
      </c>
      <c r="GV49" s="518">
        <v>4590073</v>
      </c>
      <c r="GW49" s="38">
        <f t="shared" si="115"/>
        <v>0</v>
      </c>
      <c r="GX49" s="23">
        <f>GT49/AD49</f>
        <v>77339.782608695648</v>
      </c>
      <c r="GY49" s="11"/>
      <c r="GZ49" s="10">
        <v>700000</v>
      </c>
      <c r="HA49" s="11">
        <v>700000</v>
      </c>
      <c r="HB49" s="70"/>
      <c r="HC49" s="41">
        <f>HA49/GF49</f>
        <v>7.7079819690497431E-2</v>
      </c>
      <c r="HD49" s="329"/>
      <c r="HE49" s="11">
        <v>101837</v>
      </c>
      <c r="HF49" s="24">
        <f t="shared" si="62"/>
        <v>0</v>
      </c>
      <c r="HG49" s="23">
        <f>HA49/AD49</f>
        <v>10144.927536231884</v>
      </c>
      <c r="HH49" s="84">
        <f>(GP49+HA49)/AD49</f>
        <v>52800.188947273447</v>
      </c>
      <c r="HI49" s="24">
        <f t="shared" si="118"/>
        <v>0</v>
      </c>
      <c r="HJ49" s="51">
        <v>5.51</v>
      </c>
      <c r="HK49" s="51">
        <v>5.48</v>
      </c>
      <c r="HL49" s="40">
        <v>0</v>
      </c>
      <c r="HM49" s="40">
        <v>0</v>
      </c>
      <c r="HN49" s="23">
        <f t="shared" si="107"/>
        <v>52800.188947273447</v>
      </c>
      <c r="HO49" s="40">
        <v>0</v>
      </c>
      <c r="HP49" s="23">
        <f t="shared" si="108"/>
        <v>52800.188947273447</v>
      </c>
      <c r="HQ49" s="53">
        <f t="shared" si="45"/>
        <v>0.4011688628770318</v>
      </c>
      <c r="HR49" s="40">
        <v>0</v>
      </c>
      <c r="HS49" s="40"/>
      <c r="HT49" s="11">
        <v>0</v>
      </c>
      <c r="HU49" s="42">
        <f t="shared" si="98"/>
        <v>9081495.0373618677</v>
      </c>
      <c r="HV49" s="296"/>
      <c r="HW49" s="296">
        <f t="shared" si="99"/>
        <v>0</v>
      </c>
      <c r="HX49" s="119"/>
      <c r="HY49" s="245"/>
      <c r="HZ49" s="245"/>
      <c r="IA49" s="119"/>
      <c r="IB49" s="119"/>
      <c r="IC49" s="245"/>
      <c r="ID49" s="119"/>
      <c r="IE49" s="245"/>
      <c r="IF49" s="119"/>
      <c r="IG49" s="245"/>
      <c r="IH49" s="120"/>
      <c r="II49" s="350"/>
      <c r="IJ49" s="341"/>
      <c r="IK49" s="341"/>
      <c r="IL49" s="295"/>
      <c r="IM49" s="296"/>
      <c r="IN49" s="295"/>
      <c r="IO49" s="296"/>
      <c r="IP49" s="294"/>
      <c r="IQ49" s="294"/>
      <c r="IR49" s="294"/>
      <c r="IS49" s="294"/>
      <c r="IT49" s="289"/>
      <c r="IU49" s="289"/>
      <c r="IV49" s="289"/>
      <c r="IW49" s="289"/>
      <c r="IX49" s="289"/>
      <c r="IY49" s="289"/>
      <c r="IZ49" s="245"/>
      <c r="JA49" s="128"/>
      <c r="JB49" s="120"/>
      <c r="JC49" s="128"/>
      <c r="JD49" s="128"/>
      <c r="JE49" s="120"/>
    </row>
    <row r="50" spans="1:265" ht="20.25" customHeight="1">
      <c r="A50" s="25" t="s">
        <v>628</v>
      </c>
      <c r="B50" s="7" t="s">
        <v>277</v>
      </c>
      <c r="C50" s="7" t="s">
        <v>119</v>
      </c>
      <c r="D50" s="7">
        <v>2016</v>
      </c>
      <c r="E50" s="7" t="s">
        <v>629</v>
      </c>
      <c r="F50" s="7" t="s">
        <v>424</v>
      </c>
      <c r="G50" s="7" t="s">
        <v>190</v>
      </c>
      <c r="H50" s="7" t="s">
        <v>182</v>
      </c>
      <c r="I50" s="56"/>
      <c r="J50" s="56"/>
      <c r="K50" s="275"/>
      <c r="L50" s="173"/>
      <c r="M50" s="109"/>
      <c r="N50" s="110"/>
      <c r="O50" s="219">
        <v>807</v>
      </c>
      <c r="P50" s="219">
        <v>250272</v>
      </c>
      <c r="Q50" s="219">
        <v>250272</v>
      </c>
      <c r="R50" s="219">
        <f t="shared" ref="R50:R62" si="119">P50/AD50</f>
        <v>10881.391304347826</v>
      </c>
      <c r="S50" s="219">
        <f t="shared" si="66"/>
        <v>310.12639405204459</v>
      </c>
      <c r="T50" s="225">
        <f t="shared" si="67"/>
        <v>310.12639405204459</v>
      </c>
      <c r="U50" s="225">
        <f t="shared" si="69"/>
        <v>162.92583213441748</v>
      </c>
      <c r="V50" s="225">
        <f t="shared" si="70"/>
        <v>10881.391304347826</v>
      </c>
      <c r="W50" s="219">
        <f t="shared" si="71"/>
        <v>35.086956521739133</v>
      </c>
      <c r="X50" s="220"/>
      <c r="Y50" s="228">
        <f t="shared" si="72"/>
        <v>1.9034820322180916</v>
      </c>
      <c r="Z50" s="220"/>
      <c r="AA50" s="222"/>
      <c r="AB50" s="223"/>
      <c r="AC50" s="7" t="s">
        <v>16</v>
      </c>
      <c r="AD50" s="345">
        <f t="shared" si="75"/>
        <v>23</v>
      </c>
      <c r="AE50" s="8"/>
      <c r="AF50" s="7">
        <v>23</v>
      </c>
      <c r="AG50" s="56"/>
      <c r="AH50" s="56"/>
      <c r="AI50" s="9">
        <v>1536.11</v>
      </c>
      <c r="AJ50" s="239">
        <v>1536.11</v>
      </c>
      <c r="AK50" s="9">
        <f t="shared" si="113"/>
        <v>66.787391304347821</v>
      </c>
      <c r="AL50" s="81"/>
      <c r="AM50" s="81"/>
      <c r="AN50" s="81"/>
      <c r="AO50" s="81"/>
      <c r="AP50" s="81"/>
      <c r="AQ50" s="9"/>
      <c r="AR50" s="79"/>
      <c r="AS50" s="81"/>
      <c r="AT50" s="60"/>
      <c r="AU50" s="59" t="s">
        <v>621</v>
      </c>
      <c r="AV50" s="7"/>
      <c r="AW50" s="252"/>
      <c r="AX50" s="252"/>
      <c r="AY50" s="113" t="s">
        <v>11</v>
      </c>
      <c r="AZ50" s="113" t="s">
        <v>463</v>
      </c>
      <c r="BA50" s="36"/>
      <c r="BB50" s="216">
        <v>42543</v>
      </c>
      <c r="BC50" s="102"/>
      <c r="BD50" s="102">
        <v>42557</v>
      </c>
      <c r="BE50" s="216">
        <v>42606</v>
      </c>
      <c r="BF50" s="102" t="s">
        <v>133</v>
      </c>
      <c r="BG50" s="171"/>
      <c r="BH50" s="214">
        <v>42711</v>
      </c>
      <c r="BI50" s="172">
        <v>42711</v>
      </c>
      <c r="BJ50" s="172">
        <v>42654</v>
      </c>
      <c r="BK50" s="323">
        <f>BH50</f>
        <v>42711</v>
      </c>
      <c r="BL50" s="322"/>
      <c r="BM50" s="322"/>
      <c r="BN50" s="322"/>
      <c r="BO50" s="171"/>
      <c r="BP50" s="37" t="s">
        <v>647</v>
      </c>
      <c r="BQ50" s="393" t="s">
        <v>133</v>
      </c>
      <c r="BR50" s="416" t="s">
        <v>133</v>
      </c>
      <c r="BS50" s="416" t="s">
        <v>133</v>
      </c>
      <c r="BT50" s="416">
        <v>42922</v>
      </c>
      <c r="BU50" s="167"/>
      <c r="BV50" s="333">
        <v>42727</v>
      </c>
      <c r="BW50" s="373" t="s">
        <v>133</v>
      </c>
      <c r="BX50" s="660">
        <v>2912750</v>
      </c>
      <c r="BY50" s="333"/>
      <c r="BZ50" s="373">
        <f>DATE(YEAR(BV50),MONTH(BV50)+24,DAY(BV50))</f>
        <v>43457</v>
      </c>
      <c r="CA50" s="373">
        <v>42727</v>
      </c>
      <c r="CB50" s="276">
        <f>DATE(YEAR(BV50),MONTH(BV50)+22,DAY(BV50))</f>
        <v>43396</v>
      </c>
      <c r="CC50" s="681">
        <f>(CW50-CB50)/30</f>
        <v>-5.9666666666666668</v>
      </c>
      <c r="CD50" s="512"/>
      <c r="CE50" s="383">
        <v>42583</v>
      </c>
      <c r="CF50" s="394">
        <v>2016</v>
      </c>
      <c r="CG50" s="498">
        <f t="shared" si="76"/>
        <v>1.3333333333333333</v>
      </c>
      <c r="CH50" s="260">
        <v>18</v>
      </c>
      <c r="CI50" s="262">
        <f t="shared" si="100"/>
        <v>19</v>
      </c>
      <c r="CJ50" s="257">
        <f t="shared" si="77"/>
        <v>20</v>
      </c>
      <c r="CK50" s="257">
        <f t="shared" si="78"/>
        <v>20</v>
      </c>
      <c r="CL50" s="257">
        <f t="shared" si="79"/>
        <v>2</v>
      </c>
      <c r="CM50" s="257">
        <f t="shared" si="80"/>
        <v>1</v>
      </c>
      <c r="CN50" s="63">
        <v>8529</v>
      </c>
      <c r="CO50" s="263">
        <f t="shared" si="104"/>
        <v>17058</v>
      </c>
      <c r="CP50" s="344">
        <v>43024</v>
      </c>
      <c r="CQ50" s="735">
        <f t="shared" si="81"/>
        <v>43132</v>
      </c>
      <c r="CR50" s="446">
        <v>43203</v>
      </c>
      <c r="CS50" s="458">
        <f t="shared" si="114"/>
        <v>43457</v>
      </c>
      <c r="CT50" s="258"/>
      <c r="CU50" s="258"/>
      <c r="CV50" s="650">
        <f>DATE(YEAR(CR50),MONTH(CR50),DAY(CR50)+14)</f>
        <v>43217</v>
      </c>
      <c r="CW50" s="506">
        <f>CV50</f>
        <v>43217</v>
      </c>
      <c r="CX50" s="654"/>
      <c r="CY50" s="292">
        <v>43160</v>
      </c>
      <c r="CZ50" s="127"/>
      <c r="DA50" s="127"/>
      <c r="DB50" s="127"/>
      <c r="DC50" s="127"/>
      <c r="DD50" s="127"/>
      <c r="DE50" s="56"/>
      <c r="DF50" s="56"/>
      <c r="DG50" s="56"/>
      <c r="DH50" s="56"/>
      <c r="DI50" s="56"/>
      <c r="DJ50" s="56"/>
      <c r="DK50" s="56"/>
      <c r="DL50" s="56"/>
      <c r="DM50" s="56"/>
      <c r="DN50" s="56"/>
      <c r="DO50" s="56"/>
      <c r="DP50" s="56"/>
      <c r="DQ50" s="56"/>
      <c r="DR50" s="56"/>
      <c r="DS50" s="128"/>
      <c r="DT50" s="128"/>
      <c r="DU50" s="128"/>
      <c r="DV50" s="589" t="str">
        <f t="shared" si="82"/>
        <v>0</v>
      </c>
      <c r="DW50" s="128">
        <v>42041</v>
      </c>
      <c r="DX50" s="128">
        <v>42041</v>
      </c>
      <c r="DY50" s="589">
        <f t="shared" si="83"/>
        <v>0</v>
      </c>
      <c r="DZ50" s="128"/>
      <c r="EA50" s="128"/>
      <c r="EB50" s="589" t="str">
        <f t="shared" si="84"/>
        <v>0</v>
      </c>
      <c r="EC50" s="128"/>
      <c r="ED50" s="128"/>
      <c r="EE50" s="589" t="str">
        <f t="shared" si="85"/>
        <v>0</v>
      </c>
      <c r="EF50" s="128"/>
      <c r="EG50" s="128"/>
      <c r="EH50" s="621" t="str">
        <f t="shared" si="86"/>
        <v>0</v>
      </c>
      <c r="EI50" s="343"/>
      <c r="EJ50" s="343"/>
      <c r="EK50" s="245"/>
      <c r="EL50" s="621" t="str">
        <f t="shared" si="87"/>
        <v>0</v>
      </c>
      <c r="EM50" s="343">
        <v>42741</v>
      </c>
      <c r="EN50" s="128">
        <v>42583</v>
      </c>
      <c r="EO50" s="621">
        <f t="shared" si="88"/>
        <v>-158</v>
      </c>
      <c r="EP50" s="485"/>
      <c r="EQ50" s="128"/>
      <c r="ER50" s="621" t="str">
        <f t="shared" si="89"/>
        <v>0</v>
      </c>
      <c r="ES50" s="343">
        <v>42712</v>
      </c>
      <c r="ET50" s="644">
        <v>42712</v>
      </c>
      <c r="EU50" s="645">
        <f t="shared" si="90"/>
        <v>0</v>
      </c>
      <c r="EV50" s="128"/>
      <c r="EW50" s="644">
        <v>42994</v>
      </c>
      <c r="EX50" s="589" t="str">
        <f t="shared" si="91"/>
        <v>0</v>
      </c>
      <c r="EY50" s="128"/>
      <c r="EZ50" s="128">
        <v>43024</v>
      </c>
      <c r="FA50" s="589" t="str">
        <f t="shared" si="92"/>
        <v>0</v>
      </c>
      <c r="FB50" s="128">
        <v>42946</v>
      </c>
      <c r="FC50" s="128">
        <v>43053</v>
      </c>
      <c r="FD50" s="589">
        <f t="shared" si="93"/>
        <v>107</v>
      </c>
      <c r="FE50" s="128">
        <v>42977</v>
      </c>
      <c r="FF50" s="128">
        <v>43053</v>
      </c>
      <c r="FG50" s="589">
        <f t="shared" si="94"/>
        <v>76</v>
      </c>
      <c r="FH50" s="600">
        <v>43189</v>
      </c>
      <c r="FI50" s="600"/>
      <c r="FJ50" s="596" t="str">
        <f t="shared" si="95"/>
        <v>0</v>
      </c>
      <c r="FK50" s="600">
        <v>43203</v>
      </c>
      <c r="FL50" s="600">
        <v>43203</v>
      </c>
      <c r="FM50" s="600">
        <v>43203</v>
      </c>
      <c r="FN50" s="600">
        <v>43203</v>
      </c>
      <c r="FO50" s="600">
        <f t="shared" si="111"/>
        <v>43203</v>
      </c>
      <c r="FP50" s="598">
        <v>20.666666666666668</v>
      </c>
      <c r="FQ50" s="600">
        <v>43217</v>
      </c>
      <c r="FR50" s="600">
        <f t="shared" si="112"/>
        <v>43217</v>
      </c>
      <c r="FS50" s="627">
        <v>0</v>
      </c>
      <c r="FT50" s="627">
        <v>0</v>
      </c>
      <c r="FU50" s="627">
        <v>0</v>
      </c>
      <c r="FV50" s="627"/>
      <c r="FW50" s="628">
        <f t="shared" si="96"/>
        <v>-5.2666666666666666</v>
      </c>
      <c r="FX50" s="628">
        <f t="shared" ref="FX50:FX77" si="120">(FR50-FQ50)/30</f>
        <v>0</v>
      </c>
      <c r="FY50" s="624" t="s">
        <v>829</v>
      </c>
      <c r="FZ50" s="641"/>
      <c r="GA50" s="624" t="s">
        <v>830</v>
      </c>
      <c r="GB50" s="624"/>
      <c r="GC50" s="114"/>
      <c r="GD50" s="118"/>
      <c r="GE50" s="10">
        <f>+GO50+GS50+GZ50+HT50+HE50</f>
        <v>0</v>
      </c>
      <c r="GF50" s="70">
        <f t="shared" si="105"/>
        <v>3202767</v>
      </c>
      <c r="GG50" s="12">
        <f t="shared" si="116"/>
        <v>3202767</v>
      </c>
      <c r="GH50" s="23">
        <f>GE50/AI50</f>
        <v>0</v>
      </c>
      <c r="GI50" s="23">
        <f>GE50/AD50</f>
        <v>0</v>
      </c>
      <c r="GJ50" s="10">
        <v>3537549.5398594467</v>
      </c>
      <c r="GK50" s="11">
        <v>3653732</v>
      </c>
      <c r="GL50" s="12">
        <f t="shared" si="97"/>
        <v>116182.4601405533</v>
      </c>
      <c r="GM50" s="137">
        <f t="shared" si="101"/>
        <v>1.1647617113577102</v>
      </c>
      <c r="GN50" s="139">
        <v>0.4</v>
      </c>
      <c r="GO50" s="10"/>
      <c r="GP50" s="11">
        <v>901691</v>
      </c>
      <c r="GQ50" s="23">
        <f>GO50/AD50</f>
        <v>0</v>
      </c>
      <c r="GR50" s="38"/>
      <c r="GS50" s="10"/>
      <c r="GT50" s="11">
        <f t="shared" si="117"/>
        <v>1772076</v>
      </c>
      <c r="GU50" s="13">
        <v>296327</v>
      </c>
      <c r="GV50" s="13">
        <v>1475749</v>
      </c>
      <c r="GW50" s="38">
        <f t="shared" si="115"/>
        <v>1772076</v>
      </c>
      <c r="GX50" s="23">
        <f>GS50/AD50</f>
        <v>0</v>
      </c>
      <c r="GY50" s="11"/>
      <c r="GZ50" s="10"/>
      <c r="HA50" s="11">
        <v>529000</v>
      </c>
      <c r="HB50" s="70"/>
      <c r="HC50" s="41" t="e">
        <f>GZ50/GE50</f>
        <v>#DIV/0!</v>
      </c>
      <c r="HD50" s="329"/>
      <c r="HE50" s="11"/>
      <c r="HF50" s="24">
        <f t="shared" si="62"/>
        <v>529000</v>
      </c>
      <c r="HG50" s="23">
        <f>GZ50/AD50</f>
        <v>0</v>
      </c>
      <c r="HH50" s="84">
        <f>(GO50+GZ50)/AD50</f>
        <v>0</v>
      </c>
      <c r="HI50" s="24">
        <f t="shared" si="118"/>
        <v>23000</v>
      </c>
      <c r="HJ50" s="51"/>
      <c r="HK50" s="51"/>
      <c r="HL50" s="40"/>
      <c r="HM50" s="40"/>
      <c r="HN50" s="23">
        <f>(GO50+GZ50+HM50)/AD50</f>
        <v>0</v>
      </c>
      <c r="HO50" s="40"/>
      <c r="HP50" s="23">
        <f t="shared" si="108"/>
        <v>62203.956521739128</v>
      </c>
      <c r="HQ50" s="53" t="e">
        <f>(GO50+GZ50+HM50+HO50)/(HL50+GE50-HR50)</f>
        <v>#DIV/0!</v>
      </c>
      <c r="HR50" s="40"/>
      <c r="HS50" s="40"/>
      <c r="HT50" s="11"/>
      <c r="HU50" s="42">
        <f t="shared" si="98"/>
        <v>3202767</v>
      </c>
      <c r="HV50" s="296">
        <v>101410.59907834102</v>
      </c>
      <c r="HW50" s="296">
        <f t="shared" si="99"/>
        <v>91269.548387096773</v>
      </c>
      <c r="HX50" s="119"/>
      <c r="HY50" s="245"/>
      <c r="HZ50" s="245"/>
      <c r="IA50" s="119"/>
      <c r="IB50" s="119"/>
      <c r="IC50" s="245"/>
      <c r="ID50" s="119"/>
      <c r="IE50" s="245"/>
      <c r="IF50" s="119"/>
      <c r="IG50" s="245"/>
      <c r="IH50" s="120"/>
      <c r="II50" s="350"/>
      <c r="IJ50" s="341"/>
      <c r="IK50" s="341"/>
      <c r="IL50" s="206"/>
      <c r="IM50" s="360"/>
      <c r="IN50" s="206"/>
      <c r="IO50" s="360"/>
      <c r="IP50" s="252">
        <v>42727</v>
      </c>
      <c r="IQ50" s="361">
        <v>65916.894009216587</v>
      </c>
      <c r="IR50" s="252">
        <v>42865</v>
      </c>
      <c r="IS50" s="361">
        <v>10141.0599078341</v>
      </c>
      <c r="IT50" s="119">
        <v>43027</v>
      </c>
      <c r="IU50" s="135">
        <v>5070.5345622119812</v>
      </c>
      <c r="IV50" s="120"/>
      <c r="IW50" s="120"/>
      <c r="IX50" s="119">
        <v>43055</v>
      </c>
      <c r="IY50" s="120">
        <v>10141.0599078341</v>
      </c>
      <c r="IZ50" s="245"/>
      <c r="JA50" s="128"/>
      <c r="JB50" s="120"/>
      <c r="JC50" s="128"/>
      <c r="JD50" s="128"/>
      <c r="JE50" s="120"/>
    </row>
    <row r="51" spans="1:265" ht="24.95" customHeight="1">
      <c r="A51" s="86" t="s">
        <v>294</v>
      </c>
      <c r="B51" s="20" t="s">
        <v>40</v>
      </c>
      <c r="C51" s="20" t="s">
        <v>119</v>
      </c>
      <c r="D51" s="20">
        <v>2016</v>
      </c>
      <c r="E51" s="20" t="s">
        <v>166</v>
      </c>
      <c r="F51" s="20" t="s">
        <v>424</v>
      </c>
      <c r="G51" s="20" t="s">
        <v>739</v>
      </c>
      <c r="H51" s="20" t="s">
        <v>182</v>
      </c>
      <c r="I51" s="57" t="s">
        <v>125</v>
      </c>
      <c r="J51" s="57"/>
      <c r="K51" s="218"/>
      <c r="L51" s="173" t="s">
        <v>64</v>
      </c>
      <c r="M51" s="179" t="s">
        <v>143</v>
      </c>
      <c r="N51" s="110"/>
      <c r="O51" s="224">
        <v>3126</v>
      </c>
      <c r="P51" s="224">
        <f>Q51</f>
        <v>268450</v>
      </c>
      <c r="Q51" s="224">
        <v>268450</v>
      </c>
      <c r="R51" s="219">
        <f t="shared" si="119"/>
        <v>8948.3333333333339</v>
      </c>
      <c r="S51" s="224">
        <f t="shared" si="66"/>
        <v>85.876519513755596</v>
      </c>
      <c r="T51" s="225">
        <f t="shared" si="67"/>
        <v>85.876519513755596</v>
      </c>
      <c r="U51" s="225">
        <f t="shared" si="69"/>
        <v>100.22812211813815</v>
      </c>
      <c r="V51" s="225">
        <f t="shared" si="70"/>
        <v>8948.3333333333339</v>
      </c>
      <c r="W51" s="219">
        <f t="shared" si="71"/>
        <v>104.2</v>
      </c>
      <c r="X51" s="226">
        <v>1264.3499999999999</v>
      </c>
      <c r="Y51" s="227">
        <f t="shared" si="72"/>
        <v>0.85681062060140756</v>
      </c>
      <c r="Z51" s="226"/>
      <c r="AA51" s="461">
        <v>100</v>
      </c>
      <c r="AB51" s="462"/>
      <c r="AC51" s="20" t="s">
        <v>15</v>
      </c>
      <c r="AD51" s="345">
        <f t="shared" si="75"/>
        <v>30</v>
      </c>
      <c r="AE51" s="20">
        <v>30</v>
      </c>
      <c r="AF51" s="55"/>
      <c r="AG51" s="277"/>
      <c r="AH51" s="277"/>
      <c r="AI51" s="465">
        <v>2596.9</v>
      </c>
      <c r="AJ51" s="466">
        <v>2678.39</v>
      </c>
      <c r="AK51" s="9">
        <f t="shared" si="113"/>
        <v>89.279666666666657</v>
      </c>
      <c r="AL51" s="63">
        <v>0</v>
      </c>
      <c r="AM51" s="63">
        <v>0</v>
      </c>
      <c r="AN51" s="82">
        <f>16/AD51</f>
        <v>0.53333333333333333</v>
      </c>
      <c r="AO51" s="82">
        <f>12/AD51</f>
        <v>0.4</v>
      </c>
      <c r="AP51" s="82">
        <f>2/AD51</f>
        <v>6.6666666666666666E-2</v>
      </c>
      <c r="AQ51" s="465"/>
      <c r="AR51" s="80">
        <v>0</v>
      </c>
      <c r="AS51" s="82">
        <f>AR51/O51</f>
        <v>0</v>
      </c>
      <c r="AT51" s="61">
        <v>3</v>
      </c>
      <c r="AU51" s="59" t="s">
        <v>621</v>
      </c>
      <c r="AV51" s="20" t="s">
        <v>125</v>
      </c>
      <c r="AW51" s="255">
        <v>41667</v>
      </c>
      <c r="AX51" s="255">
        <v>41787</v>
      </c>
      <c r="AY51" s="113" t="s">
        <v>12</v>
      </c>
      <c r="AZ51" s="113" t="s">
        <v>245</v>
      </c>
      <c r="BA51" s="36" t="s">
        <v>177</v>
      </c>
      <c r="BB51" s="216">
        <v>42601</v>
      </c>
      <c r="BC51" s="102">
        <v>42626</v>
      </c>
      <c r="BD51" s="204" t="s">
        <v>351</v>
      </c>
      <c r="BE51" s="217" t="s">
        <v>467</v>
      </c>
      <c r="BF51" s="102">
        <v>42627</v>
      </c>
      <c r="BG51" s="171">
        <v>41932</v>
      </c>
      <c r="BH51" s="474">
        <v>42027</v>
      </c>
      <c r="BI51" s="176">
        <v>42117</v>
      </c>
      <c r="BJ51" s="176">
        <v>42074</v>
      </c>
      <c r="BK51" s="322">
        <v>42027</v>
      </c>
      <c r="BL51" s="322">
        <f>DATE(YEAR(BK51),MONTH(BK51)+36,DAY(BK51))</f>
        <v>43123</v>
      </c>
      <c r="BM51" s="322">
        <f>DATE(YEAR(BL51),MONTH(BL51)+12,DAY(BL51))</f>
        <v>43488</v>
      </c>
      <c r="BN51" s="322" t="str">
        <f>IF(CW51&gt;BM51,"oui","non")</f>
        <v>non</v>
      </c>
      <c r="BO51" s="171" t="s">
        <v>133</v>
      </c>
      <c r="BP51" s="37" t="s">
        <v>296</v>
      </c>
      <c r="BQ51" s="200" t="s">
        <v>350</v>
      </c>
      <c r="BR51" s="104"/>
      <c r="BS51" s="104"/>
      <c r="BT51" s="43"/>
      <c r="BU51" s="167" t="s">
        <v>72</v>
      </c>
      <c r="BV51" s="333">
        <v>42719</v>
      </c>
      <c r="BW51" s="268" t="s">
        <v>612</v>
      </c>
      <c r="BX51" s="168">
        <v>4997938.95</v>
      </c>
      <c r="BY51" s="305">
        <f t="shared" ref="BY51:BY57" si="121">DATE(YEAR(BV51),MONTH(BV51)+18,DAY(BV51))</f>
        <v>43266</v>
      </c>
      <c r="BZ51" s="276">
        <f>DATE(YEAR(BV51),MONTH(BV51)+24,DAY(BV51))</f>
        <v>43449</v>
      </c>
      <c r="CA51" s="373">
        <v>42934</v>
      </c>
      <c r="CB51" s="276">
        <v>43235</v>
      </c>
      <c r="CC51" s="681">
        <f>(CW51-CB51)/30</f>
        <v>2.0666666666666669</v>
      </c>
      <c r="CD51" s="82"/>
      <c r="CE51" s="383">
        <v>42780</v>
      </c>
      <c r="CF51" s="376">
        <v>2017</v>
      </c>
      <c r="CG51" s="496">
        <f t="shared" si="76"/>
        <v>5.9666666666666668</v>
      </c>
      <c r="CH51" s="256">
        <v>16</v>
      </c>
      <c r="CI51" s="256">
        <f t="shared" si="100"/>
        <v>17</v>
      </c>
      <c r="CJ51" s="257">
        <f t="shared" si="77"/>
        <v>16</v>
      </c>
      <c r="CK51" s="257">
        <f t="shared" si="78"/>
        <v>17</v>
      </c>
      <c r="CL51" s="257">
        <f t="shared" si="79"/>
        <v>0</v>
      </c>
      <c r="CM51" s="257">
        <f t="shared" si="80"/>
        <v>0</v>
      </c>
      <c r="CN51" s="248">
        <f>209322.88214303/12</f>
        <v>17443.573511919167</v>
      </c>
      <c r="CO51" s="247">
        <f t="shared" si="104"/>
        <v>0</v>
      </c>
      <c r="CP51" s="251">
        <v>42887</v>
      </c>
      <c r="CQ51" s="735">
        <f t="shared" si="81"/>
        <v>43265</v>
      </c>
      <c r="CR51" s="446">
        <f t="shared" ref="CR51:CR56" si="122">DATE(YEAR(CE51),MONTH(CE51)+CH51,DAY(CE51))</f>
        <v>43265</v>
      </c>
      <c r="CS51" s="458">
        <f t="shared" si="114"/>
        <v>43664</v>
      </c>
      <c r="CT51" s="198"/>
      <c r="CU51" s="123"/>
      <c r="CV51" s="650">
        <f>DATE(YEAR(CR51),MONTH(CR51),DAY(CR51)+15)</f>
        <v>43280</v>
      </c>
      <c r="CW51" s="446">
        <v>43297</v>
      </c>
      <c r="CX51" s="647"/>
      <c r="CY51" s="123"/>
      <c r="CZ51" s="129"/>
      <c r="DA51" s="129"/>
      <c r="DB51" s="129"/>
      <c r="DC51" s="129"/>
      <c r="DD51" s="129"/>
      <c r="DE51" s="57"/>
      <c r="DF51" s="57"/>
      <c r="DG51" s="57"/>
      <c r="DH51" s="57"/>
      <c r="DI51" s="57"/>
      <c r="DJ51" s="57"/>
      <c r="DK51" s="57"/>
      <c r="DL51" s="57"/>
      <c r="DM51" s="57"/>
      <c r="DN51" s="119"/>
      <c r="DO51" s="57"/>
      <c r="DP51" s="57"/>
      <c r="DQ51" s="57"/>
      <c r="DR51" s="57"/>
      <c r="DS51" s="128">
        <v>41548</v>
      </c>
      <c r="DT51" s="128">
        <v>41549</v>
      </c>
      <c r="DU51" s="128">
        <v>41564</v>
      </c>
      <c r="DV51" s="589">
        <f t="shared" si="82"/>
        <v>15</v>
      </c>
      <c r="DW51" s="128">
        <v>41679</v>
      </c>
      <c r="DX51" s="128">
        <v>41674</v>
      </c>
      <c r="DY51" s="589">
        <f t="shared" si="83"/>
        <v>-5</v>
      </c>
      <c r="DZ51" s="128">
        <v>41679</v>
      </c>
      <c r="EA51" s="128">
        <v>41697</v>
      </c>
      <c r="EB51" s="589">
        <f t="shared" si="84"/>
        <v>18</v>
      </c>
      <c r="EC51" s="128">
        <v>41753</v>
      </c>
      <c r="ED51" s="128">
        <v>41824</v>
      </c>
      <c r="EE51" s="589">
        <f t="shared" si="85"/>
        <v>71</v>
      </c>
      <c r="EF51" s="128">
        <v>41880</v>
      </c>
      <c r="EG51" s="128">
        <v>41920</v>
      </c>
      <c r="EH51" s="621">
        <f t="shared" si="86"/>
        <v>40</v>
      </c>
      <c r="EI51" s="128">
        <v>42055</v>
      </c>
      <c r="EJ51" s="128">
        <v>42177</v>
      </c>
      <c r="EK51" s="128">
        <v>42780</v>
      </c>
      <c r="EL51" s="621">
        <f t="shared" si="87"/>
        <v>603</v>
      </c>
      <c r="EM51" s="128">
        <v>42781</v>
      </c>
      <c r="EN51" s="128">
        <v>42781</v>
      </c>
      <c r="EO51" s="621">
        <f t="shared" si="88"/>
        <v>0</v>
      </c>
      <c r="EP51" s="128">
        <v>42844</v>
      </c>
      <c r="EQ51" s="128">
        <v>42844</v>
      </c>
      <c r="ER51" s="621">
        <f t="shared" si="89"/>
        <v>0</v>
      </c>
      <c r="ES51" s="128">
        <v>42916</v>
      </c>
      <c r="ET51" s="644">
        <v>42936</v>
      </c>
      <c r="EU51" s="645">
        <f t="shared" si="90"/>
        <v>20</v>
      </c>
      <c r="EV51" s="128">
        <v>43124</v>
      </c>
      <c r="EW51" s="644">
        <v>43084</v>
      </c>
      <c r="EX51" s="621">
        <f t="shared" si="91"/>
        <v>-40</v>
      </c>
      <c r="EY51" s="600">
        <v>43182</v>
      </c>
      <c r="EZ51" s="600">
        <f t="shared" ref="EZ51:EZ72" ca="1" si="123">IF(EY51&lt;TODAY(),TODAY(),EY51)</f>
        <v>43182</v>
      </c>
      <c r="FA51" s="596">
        <f t="shared" ca="1" si="92"/>
        <v>0</v>
      </c>
      <c r="FB51" s="606">
        <v>43161</v>
      </c>
      <c r="FC51" s="607"/>
      <c r="FD51" s="596" t="str">
        <f t="shared" si="93"/>
        <v>0</v>
      </c>
      <c r="FE51" s="600">
        <v>43180</v>
      </c>
      <c r="FF51" s="600"/>
      <c r="FG51" s="596" t="str">
        <f t="shared" si="94"/>
        <v>0</v>
      </c>
      <c r="FH51" s="600">
        <v>43196</v>
      </c>
      <c r="FI51" s="602"/>
      <c r="FJ51" s="596" t="str">
        <f t="shared" si="95"/>
        <v>0</v>
      </c>
      <c r="FK51" s="600">
        <v>43208</v>
      </c>
      <c r="FL51" s="600">
        <v>43209</v>
      </c>
      <c r="FM51" s="600">
        <v>43220</v>
      </c>
      <c r="FN51" s="600">
        <v>43266</v>
      </c>
      <c r="FO51" s="600">
        <f t="shared" si="111"/>
        <v>43265</v>
      </c>
      <c r="FP51" s="598">
        <v>16.166666666666668</v>
      </c>
      <c r="FQ51" s="600">
        <v>43284</v>
      </c>
      <c r="FR51" s="600">
        <f t="shared" si="112"/>
        <v>43297</v>
      </c>
      <c r="FS51" s="627">
        <v>0</v>
      </c>
      <c r="FT51" s="627">
        <v>0</v>
      </c>
      <c r="FU51" s="627">
        <v>310011</v>
      </c>
      <c r="FV51" s="627"/>
      <c r="FW51" s="628">
        <f t="shared" si="96"/>
        <v>24.733333333333334</v>
      </c>
      <c r="FX51" s="628">
        <f t="shared" si="120"/>
        <v>0.43333333333333335</v>
      </c>
      <c r="FY51" s="624" t="s">
        <v>826</v>
      </c>
      <c r="FZ51" s="641" t="s">
        <v>709</v>
      </c>
      <c r="GA51" s="624" t="s">
        <v>827</v>
      </c>
      <c r="GB51" s="624" t="s">
        <v>805</v>
      </c>
      <c r="GC51" s="114"/>
      <c r="GD51" s="118"/>
      <c r="GE51" s="22">
        <f t="shared" ref="GE51:GE57" si="124">+GO51+GS51+GZ51+HT51</f>
        <v>5088523.3381183296</v>
      </c>
      <c r="GF51" s="70">
        <f t="shared" si="105"/>
        <v>5227844.2</v>
      </c>
      <c r="GG51" s="48">
        <f t="shared" si="116"/>
        <v>139320.86188167054</v>
      </c>
      <c r="GH51" s="23">
        <f t="shared" ref="GH51:GH57" si="125">GF51/AI51</f>
        <v>2013.1095536986406</v>
      </c>
      <c r="GI51" s="23">
        <f t="shared" ref="GI51:GI57" si="126">GF51/AD51</f>
        <v>174261.47333333333</v>
      </c>
      <c r="GJ51" s="22">
        <v>4413122.1526051881</v>
      </c>
      <c r="GK51" s="478">
        <v>4142334</v>
      </c>
      <c r="GL51" s="48">
        <f t="shared" si="97"/>
        <v>-270788.15260518808</v>
      </c>
      <c r="GM51" s="137">
        <f t="shared" si="101"/>
        <v>0.80899943689982179</v>
      </c>
      <c r="GN51" s="138"/>
      <c r="GO51" s="307">
        <v>1541342.2781183291</v>
      </c>
      <c r="GP51" s="478">
        <v>1638956.14</v>
      </c>
      <c r="GQ51" s="23">
        <f t="shared" ref="GQ51:GQ57" si="127">GP51/AD51</f>
        <v>54631.871333333329</v>
      </c>
      <c r="GR51" s="39">
        <f t="shared" ref="GR51:GR58" si="128">GP51-GO51</f>
        <v>97613.861881670775</v>
      </c>
      <c r="GS51" s="22">
        <f>GT51</f>
        <v>3296474.06</v>
      </c>
      <c r="GT51" s="478">
        <f t="shared" si="117"/>
        <v>3296474.06</v>
      </c>
      <c r="GU51" s="480">
        <v>618601</v>
      </c>
      <c r="GV51" s="13">
        <v>2677873.06</v>
      </c>
      <c r="GW51" s="39">
        <f t="shared" si="115"/>
        <v>0</v>
      </c>
      <c r="GX51" s="23">
        <f t="shared" ref="GX51:GX57" si="129">GT51/AD51</f>
        <v>109882.46866666667</v>
      </c>
      <c r="GY51" s="478">
        <v>0</v>
      </c>
      <c r="GZ51" s="22">
        <v>250707</v>
      </c>
      <c r="HA51" s="11">
        <v>280000</v>
      </c>
      <c r="HB51" s="75">
        <v>0</v>
      </c>
      <c r="HC51" s="41">
        <f>HA51/GF51</f>
        <v>5.3559362002410092E-2</v>
      </c>
      <c r="HD51" s="329"/>
      <c r="HE51" s="478">
        <v>12414</v>
      </c>
      <c r="HF51" s="21">
        <f t="shared" si="62"/>
        <v>29293</v>
      </c>
      <c r="HG51" s="49">
        <f>HA51/AD51</f>
        <v>9333.3333333333339</v>
      </c>
      <c r="HH51" s="84">
        <f>(GP51+HA51)/AD51</f>
        <v>63965.204666666665</v>
      </c>
      <c r="HI51" s="21">
        <f t="shared" si="118"/>
        <v>976.43333333333328</v>
      </c>
      <c r="HJ51" s="51">
        <v>6.39</v>
      </c>
      <c r="HK51" s="51">
        <v>5.75</v>
      </c>
      <c r="HL51" s="481">
        <v>0</v>
      </c>
      <c r="HM51" s="481">
        <v>0</v>
      </c>
      <c r="HN51" s="49">
        <f>(GP51+HA51+HM51)/AD51</f>
        <v>63965.204666666665</v>
      </c>
      <c r="HO51" s="481">
        <v>0</v>
      </c>
      <c r="HP51" s="49">
        <f t="shared" si="108"/>
        <v>63965.204666666665</v>
      </c>
      <c r="HQ51" s="53">
        <f>(GP51+HA51+HM51+HO51)/(HL51+GF51-HR51)</f>
        <v>0.37905933929335955</v>
      </c>
      <c r="HR51" s="481">
        <v>165428</v>
      </c>
      <c r="HS51" s="481"/>
      <c r="HT51" s="478">
        <v>0</v>
      </c>
      <c r="HU51" s="42">
        <f t="shared" si="98"/>
        <v>5227844.2</v>
      </c>
      <c r="HV51" s="296">
        <v>265886</v>
      </c>
      <c r="HW51" s="296">
        <f t="shared" si="99"/>
        <v>207553</v>
      </c>
      <c r="HX51" s="128"/>
      <c r="HY51" s="245">
        <v>24456</v>
      </c>
      <c r="HZ51" s="245"/>
      <c r="IA51" s="119"/>
      <c r="IB51" s="119">
        <v>41697</v>
      </c>
      <c r="IC51" s="245">
        <v>12815</v>
      </c>
      <c r="ID51" s="119">
        <v>41676</v>
      </c>
      <c r="IE51" s="245">
        <v>26808</v>
      </c>
      <c r="IF51" s="119">
        <v>41815</v>
      </c>
      <c r="IG51" s="245">
        <v>27980</v>
      </c>
      <c r="IH51" s="120">
        <v>41942</v>
      </c>
      <c r="II51" s="350">
        <v>39455</v>
      </c>
      <c r="IJ51" s="341"/>
      <c r="IK51" s="341"/>
      <c r="IL51" s="128" t="s">
        <v>564</v>
      </c>
      <c r="IM51" s="245"/>
      <c r="IN51" s="128">
        <v>42726</v>
      </c>
      <c r="IO51" s="245">
        <v>41091</v>
      </c>
      <c r="IP51" s="344">
        <v>42929</v>
      </c>
      <c r="IQ51" s="352">
        <v>12636</v>
      </c>
      <c r="IR51" s="119">
        <v>43006</v>
      </c>
      <c r="IS51" s="120">
        <v>12634</v>
      </c>
      <c r="IT51" s="290">
        <v>43080</v>
      </c>
      <c r="IU51" s="289">
        <v>9678</v>
      </c>
      <c r="IV51" s="289"/>
      <c r="IW51" s="289"/>
      <c r="IX51" s="289"/>
      <c r="IY51" s="289"/>
      <c r="IZ51" s="245">
        <v>26808</v>
      </c>
      <c r="JA51" s="128"/>
      <c r="JB51" s="120"/>
      <c r="JC51" s="128"/>
      <c r="JD51" s="128"/>
      <c r="JE51" s="120"/>
    </row>
    <row r="52" spans="1:265" ht="24.95" customHeight="1">
      <c r="A52" s="269" t="s">
        <v>369</v>
      </c>
      <c r="B52" s="56" t="s">
        <v>82</v>
      </c>
      <c r="C52" s="56" t="s">
        <v>119</v>
      </c>
      <c r="D52" s="56">
        <v>2016</v>
      </c>
      <c r="E52" s="56" t="s">
        <v>303</v>
      </c>
      <c r="F52" s="56" t="s">
        <v>30</v>
      </c>
      <c r="G52" s="56" t="s">
        <v>297</v>
      </c>
      <c r="H52" s="56" t="s">
        <v>184</v>
      </c>
      <c r="I52" s="56"/>
      <c r="J52" s="56" t="s">
        <v>377</v>
      </c>
      <c r="K52" s="275" t="s">
        <v>717</v>
      </c>
      <c r="L52" s="178"/>
      <c r="M52" s="179"/>
      <c r="N52" s="180"/>
      <c r="O52" s="219">
        <v>5130</v>
      </c>
      <c r="P52" s="219">
        <v>425624</v>
      </c>
      <c r="Q52" s="219">
        <v>271768</v>
      </c>
      <c r="R52" s="219">
        <f t="shared" si="119"/>
        <v>15200.857142857143</v>
      </c>
      <c r="S52" s="219">
        <f t="shared" si="66"/>
        <v>82.967641325536064</v>
      </c>
      <c r="T52" s="225">
        <f t="shared" si="67"/>
        <v>52.976218323586743</v>
      </c>
      <c r="U52" s="225">
        <f t="shared" si="69"/>
        <v>144.10749415389185</v>
      </c>
      <c r="V52" s="225">
        <f t="shared" si="70"/>
        <v>9706</v>
      </c>
      <c r="W52" s="219">
        <f t="shared" si="71"/>
        <v>183.21428571428572</v>
      </c>
      <c r="X52" s="220"/>
      <c r="Y52" s="228">
        <f t="shared" si="72"/>
        <v>0.36761598440545806</v>
      </c>
      <c r="Z52" s="220" t="s">
        <v>220</v>
      </c>
      <c r="AA52" s="220">
        <v>675</v>
      </c>
      <c r="AB52" s="221"/>
      <c r="AC52" s="56" t="s">
        <v>16</v>
      </c>
      <c r="AD52" s="345">
        <f t="shared" si="75"/>
        <v>28</v>
      </c>
      <c r="AE52" s="67"/>
      <c r="AF52" s="56">
        <v>28</v>
      </c>
      <c r="AG52" s="56"/>
      <c r="AH52" s="56"/>
      <c r="AI52" s="60">
        <v>1812.35</v>
      </c>
      <c r="AJ52" s="239">
        <v>1885.87</v>
      </c>
      <c r="AK52" s="9">
        <f t="shared" si="113"/>
        <v>67.352499999999992</v>
      </c>
      <c r="AL52" s="81">
        <f>4/AD52</f>
        <v>0.14285714285714285</v>
      </c>
      <c r="AM52" s="81">
        <f>7/AD52</f>
        <v>0.25</v>
      </c>
      <c r="AN52" s="81">
        <f>10/AD52</f>
        <v>0.35714285714285715</v>
      </c>
      <c r="AO52" s="81">
        <f>7/AD52</f>
        <v>0.25</v>
      </c>
      <c r="AP52" s="81"/>
      <c r="AQ52" s="60"/>
      <c r="AR52" s="79"/>
      <c r="AS52" s="81"/>
      <c r="AT52" s="60">
        <v>2.5</v>
      </c>
      <c r="AU52" s="59" t="s">
        <v>621</v>
      </c>
      <c r="AV52" s="56"/>
      <c r="AW52" s="252">
        <v>42488</v>
      </c>
      <c r="AX52" s="252">
        <v>42475</v>
      </c>
      <c r="AY52" s="115"/>
      <c r="AZ52" s="115"/>
      <c r="BA52" s="100"/>
      <c r="BB52" s="216">
        <v>42604</v>
      </c>
      <c r="BC52" s="102">
        <v>42646</v>
      </c>
      <c r="BD52" s="102"/>
      <c r="BE52" s="216"/>
      <c r="BF52" s="102"/>
      <c r="BG52" s="171">
        <v>42877</v>
      </c>
      <c r="BH52" s="214">
        <v>42929</v>
      </c>
      <c r="BI52" s="172">
        <v>43013</v>
      </c>
      <c r="BJ52" s="172">
        <v>42942</v>
      </c>
      <c r="BK52" s="323">
        <f>BI52</f>
        <v>43013</v>
      </c>
      <c r="BL52" s="322">
        <f t="shared" ref="BL52:BL77" si="130">DATE(YEAR(BK52),MONTH(BK52)+24,DAY(BK52))</f>
        <v>43743</v>
      </c>
      <c r="BM52" s="322">
        <f t="shared" ref="BM52:BM77" si="131">DATE(YEAR(BK52),MONTH(BK52)+36,DAY(BK52))</f>
        <v>44109</v>
      </c>
      <c r="BN52" s="322" t="str">
        <f>IF(CW52&gt;BL52,"oui","non")</f>
        <v>non</v>
      </c>
      <c r="BO52" s="171">
        <v>42920</v>
      </c>
      <c r="BP52" s="116" t="s">
        <v>690</v>
      </c>
      <c r="BQ52" s="103">
        <v>43026</v>
      </c>
      <c r="BR52" s="104"/>
      <c r="BS52" s="104"/>
      <c r="BT52" s="43"/>
      <c r="BU52" s="170"/>
      <c r="BV52" s="174"/>
      <c r="BW52" s="268"/>
      <c r="BX52" s="169"/>
      <c r="BY52" s="174">
        <f t="shared" si="121"/>
        <v>547</v>
      </c>
      <c r="BZ52" s="268"/>
      <c r="CA52" s="268"/>
      <c r="CB52" s="268" t="s">
        <v>177</v>
      </c>
      <c r="CC52" s="682"/>
      <c r="CD52" s="509"/>
      <c r="CE52" s="384">
        <v>43164</v>
      </c>
      <c r="CF52" s="377"/>
      <c r="CG52" s="494">
        <f t="shared" si="76"/>
        <v>18.666666666666668</v>
      </c>
      <c r="CH52" s="262">
        <v>16</v>
      </c>
      <c r="CI52" s="262">
        <f t="shared" si="100"/>
        <v>17</v>
      </c>
      <c r="CJ52" s="257">
        <f t="shared" si="77"/>
        <v>16</v>
      </c>
      <c r="CK52" s="257">
        <f t="shared" si="78"/>
        <v>17</v>
      </c>
      <c r="CL52" s="257">
        <f t="shared" si="79"/>
        <v>0</v>
      </c>
      <c r="CM52" s="257">
        <f t="shared" si="80"/>
        <v>0</v>
      </c>
      <c r="CN52" s="263"/>
      <c r="CO52" s="263">
        <f t="shared" si="104"/>
        <v>0</v>
      </c>
      <c r="CP52" s="258"/>
      <c r="CQ52" s="699">
        <f t="shared" si="81"/>
        <v>43651</v>
      </c>
      <c r="CR52" s="391">
        <f t="shared" si="122"/>
        <v>43651</v>
      </c>
      <c r="CS52" s="388">
        <f t="shared" si="114"/>
        <v>731</v>
      </c>
      <c r="CT52" s="258"/>
      <c r="CU52" s="258"/>
      <c r="CV52" s="650">
        <f t="shared" ref="CV52:CV99" si="132">DATE(YEAR(CR52),MONTH(CR52)+1,DAY(CR52))</f>
        <v>43682</v>
      </c>
      <c r="CW52" s="506">
        <f t="shared" ref="CW52:CW57" si="133">CV52</f>
        <v>43682</v>
      </c>
      <c r="CX52" s="654"/>
      <c r="CY52" s="123"/>
      <c r="CZ52" s="127"/>
      <c r="DA52" s="127"/>
      <c r="DB52" s="127"/>
      <c r="DC52" s="127"/>
      <c r="DD52" s="127"/>
      <c r="DE52" s="56"/>
      <c r="DF52" s="56"/>
      <c r="DG52" s="56"/>
      <c r="DH52" s="56"/>
      <c r="DI52" s="56"/>
      <c r="DJ52" s="56"/>
      <c r="DK52" s="56"/>
      <c r="DL52" s="56"/>
      <c r="DM52" s="56"/>
      <c r="DN52" s="56"/>
      <c r="DO52" s="56"/>
      <c r="DP52" s="56"/>
      <c r="DQ52" s="56"/>
      <c r="DR52" s="56"/>
      <c r="DS52" s="128">
        <v>42327</v>
      </c>
      <c r="DT52" s="128">
        <v>42353</v>
      </c>
      <c r="DU52" s="128">
        <v>42327</v>
      </c>
      <c r="DV52" s="589">
        <f t="shared" si="82"/>
        <v>-26</v>
      </c>
      <c r="DW52" s="128">
        <v>42412</v>
      </c>
      <c r="DX52" s="128">
        <v>42412</v>
      </c>
      <c r="DY52" s="589">
        <f t="shared" si="83"/>
        <v>0</v>
      </c>
      <c r="DZ52" s="128">
        <v>42436</v>
      </c>
      <c r="EA52" s="128">
        <v>42439</v>
      </c>
      <c r="EB52" s="589">
        <f t="shared" si="84"/>
        <v>3</v>
      </c>
      <c r="EC52" s="128">
        <v>42472</v>
      </c>
      <c r="ED52" s="128">
        <v>42633</v>
      </c>
      <c r="EE52" s="589">
        <f t="shared" si="85"/>
        <v>161</v>
      </c>
      <c r="EF52" s="128">
        <v>42692</v>
      </c>
      <c r="EG52" s="128">
        <v>42845</v>
      </c>
      <c r="EH52" s="621">
        <f t="shared" si="86"/>
        <v>153</v>
      </c>
      <c r="EI52" s="343">
        <v>43074</v>
      </c>
      <c r="EJ52" s="605">
        <v>43137</v>
      </c>
      <c r="EK52" s="605">
        <f ca="1">IF(EJ52&lt;TODAY(),TODAY(),EJ52)</f>
        <v>43163</v>
      </c>
      <c r="EL52" s="596">
        <f t="shared" ca="1" si="87"/>
        <v>26</v>
      </c>
      <c r="EM52" s="605">
        <v>43152</v>
      </c>
      <c r="EN52" s="605">
        <f ca="1">IF(EM52&lt;TODAY(),TODAY(),EM52)</f>
        <v>43163</v>
      </c>
      <c r="EO52" s="596">
        <f t="shared" ca="1" si="88"/>
        <v>11</v>
      </c>
      <c r="EP52" s="605"/>
      <c r="EQ52" s="600">
        <f t="shared" ref="EQ52:EQ72" ca="1" si="134">IF(EP52&lt;TODAY(),TODAY(),EP52)</f>
        <v>43163</v>
      </c>
      <c r="ER52" s="596" t="str">
        <f t="shared" ca="1" si="89"/>
        <v>0</v>
      </c>
      <c r="ES52" s="594"/>
      <c r="ET52" s="600">
        <f t="shared" ref="ET52:ET72" ca="1" si="135">IF(ES52&lt;TODAY(),TODAY(),ES52)</f>
        <v>43163</v>
      </c>
      <c r="EU52" s="597" t="str">
        <f t="shared" ca="1" si="90"/>
        <v>0</v>
      </c>
      <c r="EV52" s="600"/>
      <c r="EW52" s="622">
        <f t="shared" ref="EW52:EW72" ca="1" si="136">IF(EV52&lt;TODAY(),TODAY(),EV52)</f>
        <v>43163</v>
      </c>
      <c r="EX52" s="596" t="str">
        <f t="shared" ca="1" si="91"/>
        <v>0</v>
      </c>
      <c r="EY52" s="605"/>
      <c r="EZ52" s="600">
        <f t="shared" ca="1" si="123"/>
        <v>43163</v>
      </c>
      <c r="FA52" s="596" t="str">
        <f t="shared" ca="1" si="92"/>
        <v>0</v>
      </c>
      <c r="FB52" s="602"/>
      <c r="FC52" s="602"/>
      <c r="FD52" s="596" t="str">
        <f t="shared" si="93"/>
        <v>0</v>
      </c>
      <c r="FE52" s="600"/>
      <c r="FF52" s="600"/>
      <c r="FG52" s="596" t="str">
        <f t="shared" si="94"/>
        <v>0</v>
      </c>
      <c r="FH52" s="600"/>
      <c r="FI52" s="600"/>
      <c r="FJ52" s="596" t="str">
        <f t="shared" si="95"/>
        <v>0</v>
      </c>
      <c r="FK52" s="600"/>
      <c r="FL52" s="600"/>
      <c r="FM52" s="600"/>
      <c r="FN52" s="600">
        <v>43692</v>
      </c>
      <c r="FO52" s="600">
        <f t="shared" si="111"/>
        <v>43651</v>
      </c>
      <c r="FP52" s="598">
        <v>18</v>
      </c>
      <c r="FQ52" s="600">
        <v>43721</v>
      </c>
      <c r="FR52" s="600">
        <f t="shared" si="112"/>
        <v>43682</v>
      </c>
      <c r="FS52" s="627">
        <v>28875</v>
      </c>
      <c r="FT52" s="627">
        <v>28875</v>
      </c>
      <c r="FU52" s="627"/>
      <c r="FV52" s="627"/>
      <c r="FW52" s="628">
        <f t="shared" ca="1" si="96"/>
        <v>10.933333333333334</v>
      </c>
      <c r="FX52" s="628">
        <f t="shared" si="120"/>
        <v>-1.3</v>
      </c>
      <c r="FY52" s="624"/>
      <c r="FZ52" s="641"/>
      <c r="GA52" s="641" t="s">
        <v>828</v>
      </c>
      <c r="GB52" s="624"/>
      <c r="GC52" s="118"/>
      <c r="GD52" s="118"/>
      <c r="GE52" s="96">
        <f t="shared" si="124"/>
        <v>3901188</v>
      </c>
      <c r="GF52" s="96">
        <f t="shared" si="105"/>
        <v>4025529</v>
      </c>
      <c r="GG52" s="10">
        <f t="shared" si="116"/>
        <v>124341</v>
      </c>
      <c r="GH52" s="10">
        <f t="shared" si="125"/>
        <v>2221.1653378210613</v>
      </c>
      <c r="GI52" s="502">
        <f t="shared" si="126"/>
        <v>143768.89285714287</v>
      </c>
      <c r="GJ52" s="96">
        <v>3532430.6948800003</v>
      </c>
      <c r="GK52" s="96">
        <v>3790547.2600000002</v>
      </c>
      <c r="GL52" s="10">
        <f t="shared" si="97"/>
        <v>258116.56511999993</v>
      </c>
      <c r="GM52" s="10">
        <f t="shared" si="101"/>
        <v>0.96140128476530662</v>
      </c>
      <c r="GN52" s="329">
        <v>0.4</v>
      </c>
      <c r="GO52" s="96">
        <v>1168119</v>
      </c>
      <c r="GP52" s="10">
        <v>1263947</v>
      </c>
      <c r="GQ52" s="10">
        <f t="shared" si="127"/>
        <v>45140.964285714283</v>
      </c>
      <c r="GR52" s="10">
        <f t="shared" si="128"/>
        <v>95828</v>
      </c>
      <c r="GS52" s="502">
        <f>1677074+399995</f>
        <v>2077069</v>
      </c>
      <c r="GT52" s="10">
        <f t="shared" si="117"/>
        <v>2105582</v>
      </c>
      <c r="GU52" s="10">
        <v>405627</v>
      </c>
      <c r="GV52" s="10">
        <v>1699955</v>
      </c>
      <c r="GW52" s="10">
        <f t="shared" si="115"/>
        <v>28513</v>
      </c>
      <c r="GX52" s="502">
        <f t="shared" si="129"/>
        <v>75199.357142857145</v>
      </c>
      <c r="GY52" s="10"/>
      <c r="GZ52" s="10">
        <v>656000</v>
      </c>
      <c r="HA52" s="10">
        <v>656000</v>
      </c>
      <c r="HB52" s="96"/>
      <c r="HC52" s="502">
        <f>HA52/GF52</f>
        <v>0.16295994886634776</v>
      </c>
      <c r="HD52" s="96"/>
      <c r="HE52" s="11"/>
      <c r="HF52" s="24">
        <f t="shared" si="62"/>
        <v>0</v>
      </c>
      <c r="HG52" s="23">
        <f>HA52/AD52</f>
        <v>23428.571428571428</v>
      </c>
      <c r="HH52" s="84">
        <f>(GP52+HA52)/AD52</f>
        <v>68569.53571428571</v>
      </c>
      <c r="HI52" s="24">
        <f t="shared" si="118"/>
        <v>0</v>
      </c>
      <c r="HJ52" s="51">
        <v>5.54</v>
      </c>
      <c r="HK52" s="51"/>
      <c r="HL52" s="40">
        <v>878080.00034999999</v>
      </c>
      <c r="HM52" s="40">
        <v>560000</v>
      </c>
      <c r="HN52" s="23">
        <f t="shared" ref="HN52:HN77" si="137">(GO52+GZ52+HM52)/AD52</f>
        <v>85147.107142857145</v>
      </c>
      <c r="HO52" s="40">
        <v>84831.933350000065</v>
      </c>
      <c r="HP52" s="23">
        <f t="shared" si="108"/>
        <v>91599.247619642862</v>
      </c>
      <c r="HQ52" s="53">
        <f t="shared" ref="HQ52:HQ99" si="138">(GO52+GZ52+HM52+HO52)/(HL52+GE52-HR52)</f>
        <v>0.53838599033842116</v>
      </c>
      <c r="HR52" s="40">
        <v>193430</v>
      </c>
      <c r="HS52" s="40"/>
      <c r="HT52" s="11"/>
      <c r="HU52" s="42">
        <f>GE52+HL52</f>
        <v>4779268.0003500003</v>
      </c>
      <c r="HV52" s="296">
        <v>195171</v>
      </c>
      <c r="HW52" s="296">
        <f t="shared" si="99"/>
        <v>107344</v>
      </c>
      <c r="HX52" s="119">
        <v>42333</v>
      </c>
      <c r="HY52" s="245">
        <v>23317</v>
      </c>
      <c r="HZ52" s="245"/>
      <c r="IA52" s="119"/>
      <c r="IB52" s="119"/>
      <c r="IC52" s="245"/>
      <c r="ID52" s="119">
        <v>42429</v>
      </c>
      <c r="IE52" s="245">
        <v>23306</v>
      </c>
      <c r="IF52" s="119">
        <v>42657</v>
      </c>
      <c r="IG52" s="245">
        <v>23065</v>
      </c>
      <c r="IH52" s="120" t="s">
        <v>593</v>
      </c>
      <c r="II52" s="350">
        <v>29869</v>
      </c>
      <c r="IJ52" s="341"/>
      <c r="IK52" s="341"/>
      <c r="IL52" s="343">
        <v>43090</v>
      </c>
      <c r="IM52" s="342">
        <v>7787</v>
      </c>
      <c r="IN52" s="295"/>
      <c r="IO52" s="300"/>
      <c r="IP52" s="326"/>
      <c r="IQ52" s="326"/>
      <c r="IR52" s="326"/>
      <c r="IS52" s="326"/>
      <c r="IT52" s="289"/>
      <c r="IU52" s="289"/>
      <c r="IV52" s="289"/>
      <c r="IW52" s="289"/>
      <c r="IX52" s="289"/>
      <c r="IY52" s="289"/>
      <c r="IZ52" s="245">
        <v>23306</v>
      </c>
      <c r="JA52" s="128"/>
      <c r="JB52" s="120"/>
      <c r="JC52" s="128"/>
      <c r="JD52" s="128"/>
      <c r="JE52" s="120"/>
    </row>
    <row r="53" spans="1:265" ht="24.95" customHeight="1">
      <c r="A53" s="89" t="s">
        <v>378</v>
      </c>
      <c r="B53" s="56" t="s">
        <v>35</v>
      </c>
      <c r="C53" s="56" t="s">
        <v>117</v>
      </c>
      <c r="D53" s="56">
        <v>2016</v>
      </c>
      <c r="E53" s="56" t="s">
        <v>302</v>
      </c>
      <c r="F53" s="56" t="s">
        <v>419</v>
      </c>
      <c r="G53" s="56" t="s">
        <v>190</v>
      </c>
      <c r="H53" s="56" t="s">
        <v>264</v>
      </c>
      <c r="I53" s="56"/>
      <c r="J53" s="56" t="s">
        <v>347</v>
      </c>
      <c r="K53" s="275" t="s">
        <v>551</v>
      </c>
      <c r="L53" s="178"/>
      <c r="M53" s="179"/>
      <c r="N53" s="180"/>
      <c r="O53" s="219">
        <v>785</v>
      </c>
      <c r="P53" s="219">
        <v>550000</v>
      </c>
      <c r="Q53" s="219">
        <v>550000</v>
      </c>
      <c r="R53" s="219">
        <f t="shared" si="119"/>
        <v>25000</v>
      </c>
      <c r="S53" s="219">
        <f t="shared" si="66"/>
        <v>700.63694267515928</v>
      </c>
      <c r="T53" s="225">
        <f t="shared" si="67"/>
        <v>700.63694267515928</v>
      </c>
      <c r="U53" s="225">
        <f t="shared" si="69"/>
        <v>325.66153700403231</v>
      </c>
      <c r="V53" s="225">
        <f t="shared" si="70"/>
        <v>25000</v>
      </c>
      <c r="W53" s="219">
        <f t="shared" si="71"/>
        <v>35.68181818181818</v>
      </c>
      <c r="X53" s="220"/>
      <c r="Y53" s="228">
        <f t="shared" si="72"/>
        <v>2.1514267515923566</v>
      </c>
      <c r="Z53" s="220" t="s">
        <v>216</v>
      </c>
      <c r="AA53" s="220">
        <v>500</v>
      </c>
      <c r="AB53" s="221"/>
      <c r="AC53" s="56" t="s">
        <v>16</v>
      </c>
      <c r="AD53" s="345">
        <f t="shared" si="75"/>
        <v>22</v>
      </c>
      <c r="AE53" s="67"/>
      <c r="AF53" s="56">
        <v>22</v>
      </c>
      <c r="AG53" s="56"/>
      <c r="AH53" s="56"/>
      <c r="AI53" s="60"/>
      <c r="AJ53" s="239">
        <v>1688.87</v>
      </c>
      <c r="AK53" s="9">
        <v>1746</v>
      </c>
      <c r="AL53" s="81"/>
      <c r="AM53" s="81">
        <f>10/AD53</f>
        <v>0.45454545454545453</v>
      </c>
      <c r="AN53" s="81">
        <f>6/AD53</f>
        <v>0.27272727272727271</v>
      </c>
      <c r="AO53" s="81">
        <f>5/AD53</f>
        <v>0.22727272727272727</v>
      </c>
      <c r="AP53" s="81">
        <f>1/AD53</f>
        <v>4.5454545454545456E-2</v>
      </c>
      <c r="AQ53" s="60"/>
      <c r="AR53" s="79">
        <v>0</v>
      </c>
      <c r="AS53" s="81">
        <v>0</v>
      </c>
      <c r="AT53" s="60">
        <v>7</v>
      </c>
      <c r="AU53" s="59" t="s">
        <v>621</v>
      </c>
      <c r="AV53" s="56" t="s">
        <v>125</v>
      </c>
      <c r="AW53" s="252">
        <v>42396</v>
      </c>
      <c r="AX53" s="252">
        <v>42475</v>
      </c>
      <c r="AY53" s="115"/>
      <c r="AZ53" s="115"/>
      <c r="BA53" s="100"/>
      <c r="BB53" s="216">
        <v>42606</v>
      </c>
      <c r="BC53" s="102">
        <v>42646</v>
      </c>
      <c r="BD53" s="102" t="s">
        <v>177</v>
      </c>
      <c r="BE53" s="216" t="s">
        <v>177</v>
      </c>
      <c r="BF53" s="102" t="s">
        <v>177</v>
      </c>
      <c r="BG53" s="171"/>
      <c r="BH53" s="214"/>
      <c r="BI53" s="172"/>
      <c r="BJ53" s="172"/>
      <c r="BK53" s="103"/>
      <c r="BL53" s="200">
        <f t="shared" si="130"/>
        <v>731</v>
      </c>
      <c r="BM53" s="200">
        <f t="shared" si="131"/>
        <v>1096</v>
      </c>
      <c r="BN53" s="200"/>
      <c r="BO53" s="171"/>
      <c r="BP53" s="175"/>
      <c r="BQ53" s="103"/>
      <c r="BR53" s="104"/>
      <c r="BS53" s="104"/>
      <c r="BT53" s="43"/>
      <c r="BU53" s="167"/>
      <c r="BV53" s="174"/>
      <c r="BW53" s="268"/>
      <c r="BX53" s="169"/>
      <c r="BY53" s="174">
        <f t="shared" si="121"/>
        <v>547</v>
      </c>
      <c r="BZ53" s="268"/>
      <c r="CA53" s="268"/>
      <c r="CB53" s="268" t="s">
        <v>177</v>
      </c>
      <c r="CC53" s="682"/>
      <c r="CD53" s="509"/>
      <c r="CE53" s="384">
        <v>43264</v>
      </c>
      <c r="CF53" s="377"/>
      <c r="CG53" s="494">
        <f t="shared" si="76"/>
        <v>21.933333333333334</v>
      </c>
      <c r="CH53" s="262">
        <v>16</v>
      </c>
      <c r="CI53" s="262">
        <f t="shared" si="100"/>
        <v>17</v>
      </c>
      <c r="CJ53" s="257">
        <f t="shared" si="77"/>
        <v>16</v>
      </c>
      <c r="CK53" s="257">
        <f t="shared" si="78"/>
        <v>17</v>
      </c>
      <c r="CL53" s="257">
        <f t="shared" si="79"/>
        <v>0</v>
      </c>
      <c r="CM53" s="257">
        <f t="shared" si="80"/>
        <v>0</v>
      </c>
      <c r="CN53" s="263"/>
      <c r="CO53" s="263">
        <f t="shared" si="104"/>
        <v>0</v>
      </c>
      <c r="CP53" s="258"/>
      <c r="CQ53" s="699">
        <f t="shared" si="81"/>
        <v>43751</v>
      </c>
      <c r="CR53" s="391">
        <f t="shared" si="122"/>
        <v>43751</v>
      </c>
      <c r="CS53" s="388">
        <f t="shared" si="114"/>
        <v>731</v>
      </c>
      <c r="CT53" s="258"/>
      <c r="CU53" s="258"/>
      <c r="CV53" s="650">
        <f t="shared" si="132"/>
        <v>43782</v>
      </c>
      <c r="CW53" s="506">
        <f t="shared" si="133"/>
        <v>43782</v>
      </c>
      <c r="CX53" s="654"/>
      <c r="CY53" s="292"/>
      <c r="CZ53" s="127"/>
      <c r="DA53" s="127"/>
      <c r="DB53" s="127"/>
      <c r="DC53" s="127"/>
      <c r="DD53" s="127"/>
      <c r="DE53" s="56"/>
      <c r="DF53" s="56"/>
      <c r="DG53" s="56"/>
      <c r="DH53" s="56"/>
      <c r="DI53" s="56"/>
      <c r="DJ53" s="56"/>
      <c r="DK53" s="56"/>
      <c r="DL53" s="56"/>
      <c r="DM53" s="56"/>
      <c r="DN53" s="56"/>
      <c r="DO53" s="56"/>
      <c r="DP53" s="56"/>
      <c r="DQ53" s="56"/>
      <c r="DR53" s="56"/>
      <c r="DS53" s="343">
        <v>42331</v>
      </c>
      <c r="DT53" s="128">
        <v>42353</v>
      </c>
      <c r="DU53" s="128">
        <v>42326</v>
      </c>
      <c r="DV53" s="589">
        <f t="shared" si="82"/>
        <v>-27</v>
      </c>
      <c r="DW53" s="128">
        <v>42415</v>
      </c>
      <c r="DX53" s="128">
        <v>42415</v>
      </c>
      <c r="DY53" s="589">
        <f t="shared" si="83"/>
        <v>0</v>
      </c>
      <c r="DZ53" s="128">
        <v>42444</v>
      </c>
      <c r="EA53" s="128">
        <v>42598</v>
      </c>
      <c r="EB53" s="589">
        <f t="shared" si="84"/>
        <v>154</v>
      </c>
      <c r="EC53" s="128">
        <v>42748</v>
      </c>
      <c r="ED53" s="128">
        <v>42772</v>
      </c>
      <c r="EE53" s="589">
        <f t="shared" si="85"/>
        <v>24</v>
      </c>
      <c r="EF53" s="128">
        <v>42808</v>
      </c>
      <c r="EG53" s="613">
        <v>43149</v>
      </c>
      <c r="EH53" s="615">
        <f t="shared" si="86"/>
        <v>341</v>
      </c>
      <c r="EI53" s="619"/>
      <c r="EJ53" s="594">
        <v>43189</v>
      </c>
      <c r="EK53" s="600">
        <f ca="1">IF(EJ53&lt;TODAY(),TODAY(),EJ53)</f>
        <v>43189</v>
      </c>
      <c r="EL53" s="596">
        <f t="shared" ca="1" si="87"/>
        <v>0</v>
      </c>
      <c r="EM53" s="594">
        <v>43203</v>
      </c>
      <c r="EN53" s="600">
        <f ca="1">IF(EM53&lt;TODAY(),TODAY(),EM53)</f>
        <v>43203</v>
      </c>
      <c r="EO53" s="596">
        <f t="shared" ca="1" si="88"/>
        <v>0</v>
      </c>
      <c r="EP53" s="594"/>
      <c r="EQ53" s="600">
        <f t="shared" ca="1" si="134"/>
        <v>43163</v>
      </c>
      <c r="ER53" s="596" t="str">
        <f t="shared" ca="1" si="89"/>
        <v>0</v>
      </c>
      <c r="ES53" s="594"/>
      <c r="ET53" s="622">
        <f t="shared" ca="1" si="135"/>
        <v>43163</v>
      </c>
      <c r="EU53" s="597" t="str">
        <f t="shared" ca="1" si="90"/>
        <v>0</v>
      </c>
      <c r="EV53" s="600"/>
      <c r="EW53" s="622">
        <f t="shared" ca="1" si="136"/>
        <v>43163</v>
      </c>
      <c r="EX53" s="596" t="str">
        <f t="shared" ca="1" si="91"/>
        <v>0</v>
      </c>
      <c r="EY53" s="600"/>
      <c r="EZ53" s="600">
        <f t="shared" ca="1" si="123"/>
        <v>43163</v>
      </c>
      <c r="FA53" s="596" t="str">
        <f t="shared" ca="1" si="92"/>
        <v>0</v>
      </c>
      <c r="FB53" s="602"/>
      <c r="FC53" s="602"/>
      <c r="FD53" s="596" t="str">
        <f t="shared" si="93"/>
        <v>0</v>
      </c>
      <c r="FE53" s="600"/>
      <c r="FF53" s="600"/>
      <c r="FG53" s="596" t="str">
        <f t="shared" si="94"/>
        <v>0</v>
      </c>
      <c r="FH53" s="600"/>
      <c r="FI53" s="600"/>
      <c r="FJ53" s="596" t="str">
        <f t="shared" si="95"/>
        <v>0</v>
      </c>
      <c r="FK53" s="600"/>
      <c r="FL53" s="600"/>
      <c r="FM53" s="600"/>
      <c r="FN53" s="600">
        <v>43655</v>
      </c>
      <c r="FO53" s="600">
        <f t="shared" si="111"/>
        <v>43751</v>
      </c>
      <c r="FP53" s="598">
        <v>15.066666666666666</v>
      </c>
      <c r="FQ53" s="600">
        <v>43685</v>
      </c>
      <c r="FR53" s="600">
        <f t="shared" si="112"/>
        <v>43782</v>
      </c>
      <c r="FS53" s="627">
        <v>46700</v>
      </c>
      <c r="FT53" s="627">
        <v>46700</v>
      </c>
      <c r="FU53" s="627"/>
      <c r="FV53" s="627"/>
      <c r="FW53" s="628">
        <f t="shared" ca="1" si="96"/>
        <v>16.399999999999999</v>
      </c>
      <c r="FX53" s="628">
        <f t="shared" si="120"/>
        <v>3.2333333333333334</v>
      </c>
      <c r="FY53" s="624"/>
      <c r="FZ53" s="641"/>
      <c r="GA53" s="641"/>
      <c r="GB53" s="641" t="s">
        <v>879</v>
      </c>
      <c r="GC53" s="118"/>
      <c r="GD53" s="118"/>
      <c r="GE53" s="96">
        <f t="shared" si="124"/>
        <v>3709176.2725294223</v>
      </c>
      <c r="GF53" s="70">
        <f t="shared" si="105"/>
        <v>3630149</v>
      </c>
      <c r="GG53" s="12">
        <f t="shared" si="116"/>
        <v>-79027.272529422306</v>
      </c>
      <c r="GH53" s="23" t="e">
        <f t="shared" si="125"/>
        <v>#DIV/0!</v>
      </c>
      <c r="GI53" s="23">
        <f t="shared" si="126"/>
        <v>165006.77272727274</v>
      </c>
      <c r="GJ53" s="96">
        <v>3142057.6116279075</v>
      </c>
      <c r="GK53" s="70">
        <v>3087171</v>
      </c>
      <c r="GL53" s="12">
        <f t="shared" si="97"/>
        <v>-54886.611627907492</v>
      </c>
      <c r="GM53" s="137">
        <f t="shared" si="101"/>
        <v>0.86828435719856112</v>
      </c>
      <c r="GN53" s="139">
        <v>0.4</v>
      </c>
      <c r="GO53" s="96">
        <v>1117146.8818248713</v>
      </c>
      <c r="GP53" s="11">
        <v>1169377</v>
      </c>
      <c r="GQ53" s="23">
        <f t="shared" si="127"/>
        <v>53153.5</v>
      </c>
      <c r="GR53" s="38">
        <f t="shared" si="128"/>
        <v>52230.118175128708</v>
      </c>
      <c r="GS53" s="10">
        <v>2192029.3907045508</v>
      </c>
      <c r="GT53" s="11">
        <f t="shared" si="117"/>
        <v>2060772</v>
      </c>
      <c r="GU53" s="90">
        <v>372311</v>
      </c>
      <c r="GV53" s="13">
        <v>1688461</v>
      </c>
      <c r="GW53" s="38">
        <f t="shared" si="115"/>
        <v>-131257.39070455078</v>
      </c>
      <c r="GX53" s="23">
        <f t="shared" si="129"/>
        <v>93671.454545454544</v>
      </c>
      <c r="GY53" s="70"/>
      <c r="GZ53" s="96">
        <v>400000</v>
      </c>
      <c r="HA53" s="11">
        <f>GZ53</f>
        <v>400000</v>
      </c>
      <c r="HB53" s="70"/>
      <c r="HC53" s="41">
        <f>GZ53/GE53</f>
        <v>0.1078406553396896</v>
      </c>
      <c r="HD53" s="329"/>
      <c r="HE53" s="70"/>
      <c r="HF53" s="24">
        <f t="shared" si="62"/>
        <v>0</v>
      </c>
      <c r="HG53" s="23">
        <f>GZ53/AD53</f>
        <v>18181.81818181818</v>
      </c>
      <c r="HH53" s="84">
        <f>(GP53+HA53)/AD53</f>
        <v>71335.318181818177</v>
      </c>
      <c r="HI53" s="24">
        <f t="shared" si="118"/>
        <v>0</v>
      </c>
      <c r="HJ53" s="51">
        <v>5.32</v>
      </c>
      <c r="HK53" s="51">
        <v>5.29</v>
      </c>
      <c r="HL53" s="40"/>
      <c r="HM53" s="40"/>
      <c r="HN53" s="23">
        <f t="shared" si="137"/>
        <v>68961.221901130513</v>
      </c>
      <c r="HO53" s="40"/>
      <c r="HP53" s="23">
        <f t="shared" si="108"/>
        <v>71335.318181818177</v>
      </c>
      <c r="HQ53" s="53">
        <f t="shared" si="138"/>
        <v>0.40902528495640184</v>
      </c>
      <c r="HR53" s="40"/>
      <c r="HS53" s="40"/>
      <c r="HT53" s="11"/>
      <c r="HU53" s="42">
        <f>GE53+HL53</f>
        <v>3709176.2725294223</v>
      </c>
      <c r="HV53" s="296">
        <v>184075</v>
      </c>
      <c r="HW53" s="296">
        <f t="shared" si="99"/>
        <v>92037</v>
      </c>
      <c r="HX53" s="119">
        <v>42429</v>
      </c>
      <c r="HY53" s="245"/>
      <c r="HZ53" s="245"/>
      <c r="IA53" s="119"/>
      <c r="IB53" s="119">
        <v>42605</v>
      </c>
      <c r="IC53" s="245">
        <v>8765</v>
      </c>
      <c r="ID53" s="119">
        <v>42429</v>
      </c>
      <c r="IE53" s="245">
        <v>36701</v>
      </c>
      <c r="IF53" s="119" t="s">
        <v>604</v>
      </c>
      <c r="IG53" s="245">
        <v>18328</v>
      </c>
      <c r="IH53" s="120">
        <v>42926</v>
      </c>
      <c r="II53" s="350">
        <v>28243</v>
      </c>
      <c r="IJ53" s="341"/>
      <c r="IK53" s="341"/>
      <c r="IL53" s="295"/>
      <c r="IM53" s="296"/>
      <c r="IN53" s="295"/>
      <c r="IO53" s="296"/>
      <c r="IP53" s="326"/>
      <c r="IQ53" s="326"/>
      <c r="IR53" s="326"/>
      <c r="IS53" s="326"/>
      <c r="IT53" s="289"/>
      <c r="IU53" s="289"/>
      <c r="IV53" s="289"/>
      <c r="IW53" s="289"/>
      <c r="IX53" s="289"/>
      <c r="IY53" s="289"/>
      <c r="IZ53" s="245">
        <v>36701</v>
      </c>
      <c r="JA53" s="343"/>
      <c r="JB53" s="120"/>
      <c r="JC53" s="343"/>
      <c r="JD53" s="343"/>
      <c r="JE53" s="120"/>
    </row>
    <row r="54" spans="1:265" ht="24.95" customHeight="1">
      <c r="A54" s="269" t="s">
        <v>43</v>
      </c>
      <c r="B54" s="56" t="s">
        <v>35</v>
      </c>
      <c r="C54" s="56" t="s">
        <v>117</v>
      </c>
      <c r="D54" s="56">
        <v>2016</v>
      </c>
      <c r="E54" s="56" t="s">
        <v>44</v>
      </c>
      <c r="F54" s="56" t="s">
        <v>58</v>
      </c>
      <c r="G54" s="81" t="s">
        <v>519</v>
      </c>
      <c r="H54" s="56" t="s">
        <v>264</v>
      </c>
      <c r="I54" s="81"/>
      <c r="J54" s="56"/>
      <c r="K54" s="275" t="s">
        <v>582</v>
      </c>
      <c r="L54" s="330" t="s">
        <v>65</v>
      </c>
      <c r="M54" s="330" t="s">
        <v>72</v>
      </c>
      <c r="N54" s="330"/>
      <c r="O54" s="219">
        <v>2433</v>
      </c>
      <c r="P54" s="219">
        <f>Q54</f>
        <v>487212</v>
      </c>
      <c r="Q54" s="219">
        <v>487212</v>
      </c>
      <c r="R54" s="219">
        <f t="shared" si="119"/>
        <v>16240.4</v>
      </c>
      <c r="S54" s="219">
        <f t="shared" si="66"/>
        <v>200.25154130702836</v>
      </c>
      <c r="T54" s="219">
        <f t="shared" si="67"/>
        <v>200.25154130702836</v>
      </c>
      <c r="U54" s="219">
        <f t="shared" si="69"/>
        <v>190.87340453038934</v>
      </c>
      <c r="V54" s="219">
        <f t="shared" si="70"/>
        <v>16240.4</v>
      </c>
      <c r="W54" s="219">
        <f t="shared" si="71"/>
        <v>81.099999999999994</v>
      </c>
      <c r="X54" s="220">
        <v>782</v>
      </c>
      <c r="Y54" s="221">
        <f t="shared" si="72"/>
        <v>1.0491327579120426</v>
      </c>
      <c r="Z54" s="220" t="s">
        <v>203</v>
      </c>
      <c r="AA54" s="220">
        <v>528</v>
      </c>
      <c r="AB54" s="221">
        <v>0.05</v>
      </c>
      <c r="AC54" s="56" t="s">
        <v>15</v>
      </c>
      <c r="AD54" s="345">
        <f t="shared" si="75"/>
        <v>30</v>
      </c>
      <c r="AE54" s="56">
        <v>30</v>
      </c>
      <c r="AF54" s="67"/>
      <c r="AG54" s="67"/>
      <c r="AH54" s="67"/>
      <c r="AI54" s="60">
        <v>2526.1</v>
      </c>
      <c r="AJ54" s="239">
        <v>2552.54</v>
      </c>
      <c r="AK54" s="9">
        <f>AJ54/AD54</f>
        <v>85.084666666666664</v>
      </c>
      <c r="AL54" s="81">
        <f>4/AD54</f>
        <v>0.13333333333333333</v>
      </c>
      <c r="AM54" s="81">
        <f>7/AD54</f>
        <v>0.23333333333333334</v>
      </c>
      <c r="AN54" s="81">
        <f>9/AD54</f>
        <v>0.3</v>
      </c>
      <c r="AO54" s="81">
        <f>8/AD54</f>
        <v>0.26666666666666666</v>
      </c>
      <c r="AP54" s="81">
        <f>2/AD54</f>
        <v>6.6666666666666666E-2</v>
      </c>
      <c r="AQ54" s="60"/>
      <c r="AR54" s="79">
        <v>0</v>
      </c>
      <c r="AS54" s="81">
        <f>AR54/O54</f>
        <v>0</v>
      </c>
      <c r="AT54" s="60">
        <v>4.5</v>
      </c>
      <c r="AU54" s="59" t="s">
        <v>621</v>
      </c>
      <c r="AV54" s="56" t="s">
        <v>125</v>
      </c>
      <c r="AW54" s="314" t="s">
        <v>349</v>
      </c>
      <c r="AX54" s="254">
        <v>40816</v>
      </c>
      <c r="AY54" s="115" t="s">
        <v>12</v>
      </c>
      <c r="AZ54" s="115" t="s">
        <v>152</v>
      </c>
      <c r="BA54" s="306"/>
      <c r="BB54" s="216">
        <v>42618</v>
      </c>
      <c r="BC54" s="102">
        <v>42646</v>
      </c>
      <c r="BD54" s="102">
        <v>41807</v>
      </c>
      <c r="BE54" s="216">
        <v>41831</v>
      </c>
      <c r="BF54" s="102"/>
      <c r="BG54" s="175"/>
      <c r="BH54" s="740"/>
      <c r="BI54" s="177"/>
      <c r="BJ54" s="177"/>
      <c r="BK54" s="103"/>
      <c r="BL54" s="200">
        <f t="shared" si="130"/>
        <v>731</v>
      </c>
      <c r="BM54" s="200">
        <f t="shared" si="131"/>
        <v>1096</v>
      </c>
      <c r="BN54" s="200"/>
      <c r="BO54" s="175"/>
      <c r="BP54" s="177"/>
      <c r="BQ54" s="103"/>
      <c r="BR54" s="104"/>
      <c r="BS54" s="104"/>
      <c r="BT54" s="107"/>
      <c r="BU54" s="170" t="s">
        <v>72</v>
      </c>
      <c r="BV54" s="174"/>
      <c r="BW54" s="268"/>
      <c r="BX54" s="169"/>
      <c r="BY54" s="174">
        <f t="shared" si="121"/>
        <v>547</v>
      </c>
      <c r="BZ54" s="268"/>
      <c r="CA54" s="268"/>
      <c r="CB54" s="268" t="s">
        <v>177</v>
      </c>
      <c r="CC54" s="682"/>
      <c r="CD54" s="509"/>
      <c r="CE54" s="384">
        <v>43291</v>
      </c>
      <c r="CF54" s="378"/>
      <c r="CG54" s="500">
        <f t="shared" si="76"/>
        <v>22.433333333333334</v>
      </c>
      <c r="CH54" s="264">
        <v>18</v>
      </c>
      <c r="CI54" s="264">
        <f t="shared" si="100"/>
        <v>19</v>
      </c>
      <c r="CJ54" s="257">
        <f t="shared" si="77"/>
        <v>18</v>
      </c>
      <c r="CK54" s="257">
        <f t="shared" si="78"/>
        <v>19</v>
      </c>
      <c r="CL54" s="257">
        <f t="shared" si="79"/>
        <v>0</v>
      </c>
      <c r="CM54" s="257">
        <f t="shared" si="80"/>
        <v>0</v>
      </c>
      <c r="CN54" s="263"/>
      <c r="CO54" s="263">
        <f t="shared" si="104"/>
        <v>0</v>
      </c>
      <c r="CP54" s="258"/>
      <c r="CQ54" s="699">
        <f t="shared" si="81"/>
        <v>43840</v>
      </c>
      <c r="CR54" s="391">
        <f t="shared" si="122"/>
        <v>43840</v>
      </c>
      <c r="CS54" s="388">
        <f t="shared" si="114"/>
        <v>731</v>
      </c>
      <c r="CT54" s="258"/>
      <c r="CU54" s="258"/>
      <c r="CV54" s="650">
        <f t="shared" si="132"/>
        <v>43871</v>
      </c>
      <c r="CW54" s="506">
        <f t="shared" si="133"/>
        <v>43871</v>
      </c>
      <c r="CX54" s="654"/>
      <c r="CY54" s="292"/>
      <c r="CZ54" s="199"/>
      <c r="DA54" s="199"/>
      <c r="DB54" s="199"/>
      <c r="DC54" s="199"/>
      <c r="DD54" s="199"/>
      <c r="DE54" s="81"/>
      <c r="DF54" s="81"/>
      <c r="DG54" s="81"/>
      <c r="DH54" s="81"/>
      <c r="DI54" s="81"/>
      <c r="DJ54" s="81"/>
      <c r="DK54" s="81"/>
      <c r="DL54" s="81"/>
      <c r="DM54" s="81"/>
      <c r="DN54" s="81"/>
      <c r="DO54" s="81"/>
      <c r="DP54" s="81"/>
      <c r="DQ54" s="81"/>
      <c r="DR54" s="81"/>
      <c r="DS54" s="128"/>
      <c r="DT54" s="128"/>
      <c r="DU54" s="128">
        <v>40735</v>
      </c>
      <c r="DV54" s="589" t="str">
        <f t="shared" si="82"/>
        <v>0</v>
      </c>
      <c r="DW54" s="128">
        <v>40885</v>
      </c>
      <c r="DX54" s="128">
        <v>42404</v>
      </c>
      <c r="DY54" s="589">
        <f t="shared" si="83"/>
        <v>1519</v>
      </c>
      <c r="DZ54" s="128">
        <v>40865</v>
      </c>
      <c r="EA54" s="128">
        <v>40911</v>
      </c>
      <c r="EB54" s="589">
        <f t="shared" si="84"/>
        <v>46</v>
      </c>
      <c r="EC54" s="128">
        <v>40949</v>
      </c>
      <c r="ED54" s="128">
        <v>41416</v>
      </c>
      <c r="EE54" s="589">
        <f t="shared" si="85"/>
        <v>467</v>
      </c>
      <c r="EF54" s="128"/>
      <c r="EG54" s="128"/>
      <c r="EH54" s="615" t="str">
        <f t="shared" si="86"/>
        <v>0</v>
      </c>
      <c r="EI54" s="619"/>
      <c r="EJ54" s="600">
        <v>43276</v>
      </c>
      <c r="EK54" s="600">
        <f ca="1">IF(EJ54&lt;TODAY(),TODAY(),EJ54)</f>
        <v>43276</v>
      </c>
      <c r="EL54" s="596">
        <f t="shared" ca="1" si="87"/>
        <v>0</v>
      </c>
      <c r="EM54" s="605">
        <v>43291</v>
      </c>
      <c r="EN54" s="600">
        <f ca="1">IF(EM54&lt;TODAY(),TODAY(),EM54)</f>
        <v>43291</v>
      </c>
      <c r="EO54" s="596">
        <f t="shared" ca="1" si="88"/>
        <v>0</v>
      </c>
      <c r="EP54" s="594"/>
      <c r="EQ54" s="600">
        <f t="shared" ca="1" si="134"/>
        <v>43163</v>
      </c>
      <c r="ER54" s="596" t="str">
        <f t="shared" ca="1" si="89"/>
        <v>0</v>
      </c>
      <c r="ES54" s="594"/>
      <c r="ET54" s="622">
        <f t="shared" ca="1" si="135"/>
        <v>43163</v>
      </c>
      <c r="EU54" s="597" t="str">
        <f t="shared" ca="1" si="90"/>
        <v>0</v>
      </c>
      <c r="EV54" s="600"/>
      <c r="EW54" s="622">
        <f t="shared" ca="1" si="136"/>
        <v>43163</v>
      </c>
      <c r="EX54" s="596" t="str">
        <f t="shared" ca="1" si="91"/>
        <v>0</v>
      </c>
      <c r="EY54" s="600"/>
      <c r="EZ54" s="600">
        <f t="shared" ca="1" si="123"/>
        <v>43163</v>
      </c>
      <c r="FA54" s="596" t="str">
        <f t="shared" ca="1" si="92"/>
        <v>0</v>
      </c>
      <c r="FB54" s="600"/>
      <c r="FC54" s="600"/>
      <c r="FD54" s="596" t="str">
        <f t="shared" si="93"/>
        <v>0</v>
      </c>
      <c r="FE54" s="600"/>
      <c r="FF54" s="600"/>
      <c r="FG54" s="596" t="str">
        <f t="shared" si="94"/>
        <v>0</v>
      </c>
      <c r="FH54" s="600"/>
      <c r="FI54" s="600"/>
      <c r="FJ54" s="596" t="str">
        <f t="shared" si="95"/>
        <v>0</v>
      </c>
      <c r="FK54" s="600"/>
      <c r="FL54" s="600"/>
      <c r="FM54" s="600"/>
      <c r="FN54" s="600">
        <v>43693</v>
      </c>
      <c r="FO54" s="600">
        <f t="shared" si="111"/>
        <v>43840</v>
      </c>
      <c r="FP54" s="598">
        <v>13.4</v>
      </c>
      <c r="FQ54" s="600">
        <v>43707</v>
      </c>
      <c r="FR54" s="600">
        <f t="shared" si="112"/>
        <v>43871</v>
      </c>
      <c r="FS54" s="627">
        <v>0</v>
      </c>
      <c r="FT54" s="627">
        <v>0</v>
      </c>
      <c r="FU54" s="627"/>
      <c r="FV54" s="627"/>
      <c r="FW54" s="628">
        <f t="shared" ca="1" si="96"/>
        <v>67.733333333333334</v>
      </c>
      <c r="FX54" s="628">
        <f t="shared" si="120"/>
        <v>5.4666666666666668</v>
      </c>
      <c r="FY54" s="624"/>
      <c r="FZ54" s="641"/>
      <c r="GA54" s="641" t="s">
        <v>882</v>
      </c>
      <c r="GB54" s="641" t="s">
        <v>893</v>
      </c>
      <c r="GC54" s="118" t="s">
        <v>125</v>
      </c>
      <c r="GD54" s="118"/>
      <c r="GE54" s="96">
        <f t="shared" si="124"/>
        <v>4943384.7071162229</v>
      </c>
      <c r="GF54" s="70">
        <f t="shared" si="105"/>
        <v>5019088.09</v>
      </c>
      <c r="GG54" s="12">
        <f t="shared" si="116"/>
        <v>75703.382883776911</v>
      </c>
      <c r="GH54" s="23">
        <f t="shared" si="125"/>
        <v>1986.8920826570602</v>
      </c>
      <c r="GI54" s="23">
        <f t="shared" si="126"/>
        <v>167302.93633333332</v>
      </c>
      <c r="GJ54" s="96">
        <v>4257022.3269400001</v>
      </c>
      <c r="GK54" s="70">
        <v>4316430</v>
      </c>
      <c r="GL54" s="12">
        <f t="shared" si="97"/>
        <v>59407.673059999943</v>
      </c>
      <c r="GM54" s="137">
        <f t="shared" si="101"/>
        <v>0.8780628972782184</v>
      </c>
      <c r="GN54" s="139">
        <v>0.37030000000000002</v>
      </c>
      <c r="GO54" s="96">
        <v>1487646.5617181344</v>
      </c>
      <c r="GP54" s="11">
        <v>1500443.2</v>
      </c>
      <c r="GQ54" s="23">
        <f t="shared" si="127"/>
        <v>50014.773333333331</v>
      </c>
      <c r="GR54" s="38">
        <f t="shared" si="128"/>
        <v>12796.638281865511</v>
      </c>
      <c r="GS54" s="10">
        <v>3185738.1453980887</v>
      </c>
      <c r="GT54" s="11">
        <f t="shared" si="117"/>
        <v>3248644.89</v>
      </c>
      <c r="GU54" s="90">
        <v>676852.65</v>
      </c>
      <c r="GV54" s="13">
        <v>2571792.2400000002</v>
      </c>
      <c r="GW54" s="38">
        <f t="shared" si="115"/>
        <v>62906.7446019114</v>
      </c>
      <c r="GX54" s="23">
        <f t="shared" si="129"/>
        <v>108288.163</v>
      </c>
      <c r="GY54" s="70">
        <v>0</v>
      </c>
      <c r="GZ54" s="96">
        <v>270000</v>
      </c>
      <c r="HA54" s="11">
        <v>270000</v>
      </c>
      <c r="HB54" s="70"/>
      <c r="HC54" s="41">
        <f>HA54/GF54</f>
        <v>5.3794632642122052E-2</v>
      </c>
      <c r="HD54" s="329"/>
      <c r="HE54" s="70">
        <v>0</v>
      </c>
      <c r="HF54" s="24">
        <f t="shared" ref="HF54:HF77" si="139">HA54-GZ54</f>
        <v>0</v>
      </c>
      <c r="HG54" s="49">
        <f>GZ54/AD54</f>
        <v>9000</v>
      </c>
      <c r="HH54" s="84">
        <f>(GP54+HA54)/AD54</f>
        <v>59014.773333333331</v>
      </c>
      <c r="HI54" s="24">
        <f t="shared" si="118"/>
        <v>0</v>
      </c>
      <c r="HJ54" s="51">
        <v>6.47</v>
      </c>
      <c r="HK54" s="51">
        <v>5.76</v>
      </c>
      <c r="HL54" s="40">
        <v>0</v>
      </c>
      <c r="HM54" s="40">
        <v>0</v>
      </c>
      <c r="HN54" s="23">
        <f t="shared" si="137"/>
        <v>58588.218723937818</v>
      </c>
      <c r="HO54" s="40">
        <v>0</v>
      </c>
      <c r="HP54" s="23">
        <f t="shared" si="108"/>
        <v>59014.773333333331</v>
      </c>
      <c r="HQ54" s="53">
        <f t="shared" si="138"/>
        <v>0.3555552856705495</v>
      </c>
      <c r="HR54" s="40"/>
      <c r="HS54" s="40"/>
      <c r="HT54" s="11">
        <v>0</v>
      </c>
      <c r="HU54" s="42">
        <f>GE54+HL54</f>
        <v>4943384.7071162229</v>
      </c>
      <c r="HV54" s="296">
        <v>236430</v>
      </c>
      <c r="HW54" s="296">
        <f t="shared" si="99"/>
        <v>184131.89400921657</v>
      </c>
      <c r="HX54" s="119">
        <v>40779</v>
      </c>
      <c r="HY54" s="245">
        <v>3705</v>
      </c>
      <c r="HZ54" s="245"/>
      <c r="IA54" s="119"/>
      <c r="IB54" s="119">
        <v>40892</v>
      </c>
      <c r="IC54" s="245">
        <v>11608</v>
      </c>
      <c r="ID54" s="119">
        <v>40892</v>
      </c>
      <c r="IE54" s="245">
        <v>42727</v>
      </c>
      <c r="IF54" s="119">
        <v>41193</v>
      </c>
      <c r="IG54" s="245">
        <v>25155</v>
      </c>
      <c r="IH54" s="120">
        <v>42615</v>
      </c>
      <c r="II54" s="350">
        <v>35020</v>
      </c>
      <c r="IJ54" s="341"/>
      <c r="IK54" s="341"/>
      <c r="IL54" s="295">
        <v>42719</v>
      </c>
      <c r="IM54" s="296">
        <v>65916.894009216587</v>
      </c>
      <c r="IN54" s="295"/>
      <c r="IO54" s="296"/>
      <c r="IP54" s="327"/>
      <c r="IQ54" s="327"/>
      <c r="IR54" s="327"/>
      <c r="IS54" s="327"/>
      <c r="IT54" s="289"/>
      <c r="IU54" s="289"/>
      <c r="IV54" s="289"/>
      <c r="IW54" s="289"/>
      <c r="IX54" s="289"/>
      <c r="IY54" s="289"/>
      <c r="IZ54" s="245">
        <v>42727</v>
      </c>
      <c r="JA54" s="128"/>
      <c r="JB54" s="120"/>
      <c r="JC54" s="128"/>
      <c r="JD54" s="206"/>
      <c r="JE54" s="312"/>
    </row>
    <row r="55" spans="1:265" ht="24.95" customHeight="1">
      <c r="A55" s="89" t="s">
        <v>641</v>
      </c>
      <c r="B55" s="56" t="s">
        <v>46</v>
      </c>
      <c r="C55" s="56" t="s">
        <v>117</v>
      </c>
      <c r="D55" s="56">
        <v>2016</v>
      </c>
      <c r="E55" s="56" t="s">
        <v>328</v>
      </c>
      <c r="F55" s="56" t="s">
        <v>340</v>
      </c>
      <c r="G55" s="56" t="s">
        <v>519</v>
      </c>
      <c r="H55" s="56" t="s">
        <v>264</v>
      </c>
      <c r="I55" s="56"/>
      <c r="J55" s="56" t="s">
        <v>374</v>
      </c>
      <c r="K55" s="275" t="s">
        <v>718</v>
      </c>
      <c r="L55" s="178"/>
      <c r="M55" s="179"/>
      <c r="N55" s="180"/>
      <c r="O55" s="219">
        <v>2307</v>
      </c>
      <c r="P55" s="219">
        <v>184560</v>
      </c>
      <c r="Q55" s="219">
        <v>184560</v>
      </c>
      <c r="R55" s="219">
        <f t="shared" si="119"/>
        <v>10253.333333333334</v>
      </c>
      <c r="S55" s="219">
        <f t="shared" si="66"/>
        <v>80</v>
      </c>
      <c r="T55" s="225">
        <f t="shared" si="67"/>
        <v>80</v>
      </c>
      <c r="U55" s="225">
        <f t="shared" si="69"/>
        <v>136.34953235124632</v>
      </c>
      <c r="V55" s="225">
        <f t="shared" si="70"/>
        <v>10253.333333333334</v>
      </c>
      <c r="W55" s="219">
        <f t="shared" si="71"/>
        <v>128.16666666666666</v>
      </c>
      <c r="X55" s="220"/>
      <c r="Y55" s="228">
        <f t="shared" si="72"/>
        <v>0.58672735153879496</v>
      </c>
      <c r="Z55" s="220"/>
      <c r="AA55" s="220">
        <v>380</v>
      </c>
      <c r="AB55" s="221"/>
      <c r="AC55" s="56" t="s">
        <v>16</v>
      </c>
      <c r="AD55" s="345">
        <f t="shared" si="75"/>
        <v>18</v>
      </c>
      <c r="AE55" s="67"/>
      <c r="AF55" s="56">
        <v>18</v>
      </c>
      <c r="AG55" s="56"/>
      <c r="AH55" s="56"/>
      <c r="AI55" s="60">
        <v>1427.7</v>
      </c>
      <c r="AJ55" s="239">
        <v>1353.58</v>
      </c>
      <c r="AK55" s="9">
        <f>AJ55/AD55</f>
        <v>75.198888888888888</v>
      </c>
      <c r="AL55" s="81">
        <f>2/AD55</f>
        <v>0.1111111111111111</v>
      </c>
      <c r="AM55" s="81">
        <f>6/AD55</f>
        <v>0.33333333333333331</v>
      </c>
      <c r="AN55" s="81">
        <f>7/AD55</f>
        <v>0.3888888888888889</v>
      </c>
      <c r="AO55" s="81">
        <f>3/AD55</f>
        <v>0.16666666666666666</v>
      </c>
      <c r="AP55" s="81"/>
      <c r="AQ55" s="60"/>
      <c r="AR55" s="79"/>
      <c r="AS55" s="81"/>
      <c r="AT55" s="60"/>
      <c r="AU55" s="59" t="s">
        <v>621</v>
      </c>
      <c r="AV55" s="56"/>
      <c r="AW55" s="252">
        <v>42396</v>
      </c>
      <c r="AX55" s="252">
        <v>42475</v>
      </c>
      <c r="AY55" s="115"/>
      <c r="AZ55" s="115"/>
      <c r="BA55" s="100"/>
      <c r="BB55" s="216">
        <v>42620</v>
      </c>
      <c r="BC55" s="102">
        <v>42646</v>
      </c>
      <c r="BD55" s="102"/>
      <c r="BE55" s="216"/>
      <c r="BF55" s="102"/>
      <c r="BG55" s="171"/>
      <c r="BH55" s="214"/>
      <c r="BI55" s="172"/>
      <c r="BJ55" s="172"/>
      <c r="BK55" s="103"/>
      <c r="BL55" s="200">
        <f t="shared" si="130"/>
        <v>731</v>
      </c>
      <c r="BM55" s="200">
        <f t="shared" si="131"/>
        <v>1096</v>
      </c>
      <c r="BN55" s="200"/>
      <c r="BO55" s="171"/>
      <c r="BP55" s="177"/>
      <c r="BQ55" s="103"/>
      <c r="BR55" s="104"/>
      <c r="BS55" s="104"/>
      <c r="BT55" s="104"/>
      <c r="BU55" s="167"/>
      <c r="BV55" s="174"/>
      <c r="BW55" s="268"/>
      <c r="BX55" s="169"/>
      <c r="BY55" s="174">
        <f t="shared" si="121"/>
        <v>547</v>
      </c>
      <c r="BZ55" s="268"/>
      <c r="CA55" s="268"/>
      <c r="CB55" s="268" t="s">
        <v>177</v>
      </c>
      <c r="CC55" s="682"/>
      <c r="CD55" s="509"/>
      <c r="CE55" s="513">
        <v>43151</v>
      </c>
      <c r="CF55" s="377"/>
      <c r="CG55" s="494">
        <f t="shared" si="76"/>
        <v>17.7</v>
      </c>
      <c r="CH55" s="262">
        <v>16</v>
      </c>
      <c r="CI55" s="262">
        <f t="shared" si="100"/>
        <v>17</v>
      </c>
      <c r="CJ55" s="257">
        <f t="shared" si="77"/>
        <v>16</v>
      </c>
      <c r="CK55" s="257">
        <f t="shared" si="78"/>
        <v>17</v>
      </c>
      <c r="CL55" s="257">
        <f t="shared" si="79"/>
        <v>0</v>
      </c>
      <c r="CM55" s="257">
        <f t="shared" si="80"/>
        <v>0</v>
      </c>
      <c r="CN55" s="263"/>
      <c r="CO55" s="263">
        <f t="shared" si="104"/>
        <v>0</v>
      </c>
      <c r="CP55" s="258"/>
      <c r="CQ55" s="699">
        <f t="shared" si="81"/>
        <v>43636</v>
      </c>
      <c r="CR55" s="391">
        <f t="shared" si="122"/>
        <v>43636</v>
      </c>
      <c r="CS55" s="388">
        <f t="shared" si="114"/>
        <v>731</v>
      </c>
      <c r="CT55" s="258"/>
      <c r="CU55" s="258"/>
      <c r="CV55" s="650">
        <f t="shared" si="132"/>
        <v>43666</v>
      </c>
      <c r="CW55" s="506">
        <f t="shared" si="133"/>
        <v>43666</v>
      </c>
      <c r="CX55" s="654"/>
      <c r="CY55" s="123"/>
      <c r="CZ55" s="127"/>
      <c r="DA55" s="127"/>
      <c r="DB55" s="127"/>
      <c r="DC55" s="127"/>
      <c r="DD55" s="127"/>
      <c r="DE55" s="56"/>
      <c r="DF55" s="56"/>
      <c r="DG55" s="56"/>
      <c r="DH55" s="56"/>
      <c r="DI55" s="56"/>
      <c r="DJ55" s="56"/>
      <c r="DK55" s="56"/>
      <c r="DL55" s="56"/>
      <c r="DM55" s="56"/>
      <c r="DN55" s="56"/>
      <c r="DO55" s="56"/>
      <c r="DP55" s="56"/>
      <c r="DQ55" s="56"/>
      <c r="DR55" s="56"/>
      <c r="DS55" s="128">
        <v>42292</v>
      </c>
      <c r="DT55" s="128">
        <v>42307</v>
      </c>
      <c r="DU55" s="128">
        <v>42292</v>
      </c>
      <c r="DV55" s="589">
        <f t="shared" si="82"/>
        <v>-15</v>
      </c>
      <c r="DW55" s="128">
        <v>42412</v>
      </c>
      <c r="DX55" s="128">
        <v>42412</v>
      </c>
      <c r="DY55" s="589">
        <f t="shared" si="83"/>
        <v>0</v>
      </c>
      <c r="DZ55" s="128">
        <v>42454</v>
      </c>
      <c r="EA55" s="343">
        <v>42593</v>
      </c>
      <c r="EB55" s="589">
        <f t="shared" si="84"/>
        <v>139</v>
      </c>
      <c r="EC55" s="128">
        <v>42472</v>
      </c>
      <c r="ED55" s="343">
        <v>42690</v>
      </c>
      <c r="EE55" s="589">
        <f t="shared" si="85"/>
        <v>218</v>
      </c>
      <c r="EF55" s="128">
        <v>42727</v>
      </c>
      <c r="EG55" s="128">
        <v>42905</v>
      </c>
      <c r="EH55" s="589">
        <f t="shared" si="86"/>
        <v>178</v>
      </c>
      <c r="EI55" s="619"/>
      <c r="EJ55" s="605">
        <v>43136</v>
      </c>
      <c r="EK55" s="600">
        <f ca="1">IF(EJ55&lt;TODAY(),TODAY(),EJ55)</f>
        <v>43163</v>
      </c>
      <c r="EL55" s="596">
        <f t="shared" ca="1" si="87"/>
        <v>27</v>
      </c>
      <c r="EM55" s="605">
        <v>43151</v>
      </c>
      <c r="EN55" s="600">
        <f ca="1">IF(EM55&lt;TODAY(),TODAY(),EM55)</f>
        <v>43163</v>
      </c>
      <c r="EO55" s="596">
        <f t="shared" ca="1" si="88"/>
        <v>12</v>
      </c>
      <c r="EP55" s="594"/>
      <c r="EQ55" s="600">
        <f t="shared" ca="1" si="134"/>
        <v>43163</v>
      </c>
      <c r="ER55" s="596" t="str">
        <f t="shared" ca="1" si="89"/>
        <v>0</v>
      </c>
      <c r="ES55" s="594"/>
      <c r="ET55" s="622">
        <f t="shared" ca="1" si="135"/>
        <v>43163</v>
      </c>
      <c r="EU55" s="597" t="str">
        <f t="shared" ca="1" si="90"/>
        <v>0</v>
      </c>
      <c r="EV55" s="600"/>
      <c r="EW55" s="622">
        <f t="shared" ca="1" si="136"/>
        <v>43163</v>
      </c>
      <c r="EX55" s="596" t="str">
        <f t="shared" ca="1" si="91"/>
        <v>0</v>
      </c>
      <c r="EY55" s="600"/>
      <c r="EZ55" s="600">
        <f t="shared" ca="1" si="123"/>
        <v>43163</v>
      </c>
      <c r="FA55" s="596" t="str">
        <f t="shared" ca="1" si="92"/>
        <v>0</v>
      </c>
      <c r="FB55" s="602"/>
      <c r="FC55" s="602"/>
      <c r="FD55" s="596" t="str">
        <f t="shared" si="93"/>
        <v>0</v>
      </c>
      <c r="FE55" s="600"/>
      <c r="FF55" s="600"/>
      <c r="FG55" s="596" t="str">
        <f t="shared" si="94"/>
        <v>0</v>
      </c>
      <c r="FH55" s="602"/>
      <c r="FI55" s="602"/>
      <c r="FJ55" s="596" t="str">
        <f t="shared" si="95"/>
        <v>0</v>
      </c>
      <c r="FK55" s="600"/>
      <c r="FL55" s="600"/>
      <c r="FM55" s="600"/>
      <c r="FN55" s="600">
        <v>43691</v>
      </c>
      <c r="FO55" s="600">
        <f t="shared" si="111"/>
        <v>43636</v>
      </c>
      <c r="FP55" s="598">
        <v>18</v>
      </c>
      <c r="FQ55" s="600">
        <v>43721</v>
      </c>
      <c r="FR55" s="600">
        <f t="shared" si="112"/>
        <v>43666</v>
      </c>
      <c r="FS55" s="627">
        <v>240000</v>
      </c>
      <c r="FT55" s="627">
        <v>240000</v>
      </c>
      <c r="FU55" s="627"/>
      <c r="FV55" s="627"/>
      <c r="FW55" s="628">
        <f t="shared" ca="1" si="96"/>
        <v>18.633333333333333</v>
      </c>
      <c r="FX55" s="628">
        <f t="shared" si="120"/>
        <v>-1.8333333333333333</v>
      </c>
      <c r="FY55" s="624"/>
      <c r="FZ55" s="641"/>
      <c r="GA55" s="641" t="s">
        <v>180</v>
      </c>
      <c r="GB55" s="624"/>
      <c r="GC55" s="118"/>
      <c r="GD55" s="118"/>
      <c r="GE55" s="96">
        <f t="shared" si="124"/>
        <v>3075176.7292601359</v>
      </c>
      <c r="GF55" s="70">
        <f t="shared" si="105"/>
        <v>3229636.25</v>
      </c>
      <c r="GG55" s="12">
        <f t="shared" si="116"/>
        <v>154459.52073986409</v>
      </c>
      <c r="GH55" s="23">
        <f t="shared" si="125"/>
        <v>2262.1252714155635</v>
      </c>
      <c r="GI55" s="23">
        <f t="shared" si="126"/>
        <v>179424.23611111112</v>
      </c>
      <c r="GJ55" s="96">
        <v>2485795.7500000005</v>
      </c>
      <c r="GK55" s="70">
        <v>2579834.0699999998</v>
      </c>
      <c r="GL55" s="12">
        <f t="shared" si="97"/>
        <v>94038.319999999367</v>
      </c>
      <c r="GM55" s="137">
        <f t="shared" si="101"/>
        <v>0.81557500027131535</v>
      </c>
      <c r="GN55" s="139">
        <v>0.4</v>
      </c>
      <c r="GO55" s="96">
        <v>896735</v>
      </c>
      <c r="GP55" s="11">
        <v>1097171.1499999999</v>
      </c>
      <c r="GQ55" s="23">
        <f t="shared" si="127"/>
        <v>60953.952777777769</v>
      </c>
      <c r="GR55" s="38">
        <f t="shared" si="128"/>
        <v>200436.14999999991</v>
      </c>
      <c r="GS55" s="10">
        <v>1668441.7292601359</v>
      </c>
      <c r="GT55" s="11">
        <f t="shared" si="117"/>
        <v>1610935.1</v>
      </c>
      <c r="GU55" s="90">
        <v>318798.07</v>
      </c>
      <c r="GV55" s="13">
        <v>1292137.03</v>
      </c>
      <c r="GW55" s="38">
        <f t="shared" si="115"/>
        <v>-57506.629260135815</v>
      </c>
      <c r="GX55" s="23">
        <f t="shared" si="129"/>
        <v>89496.39444444445</v>
      </c>
      <c r="GY55" s="70"/>
      <c r="GZ55" s="96">
        <v>270000</v>
      </c>
      <c r="HA55" s="11">
        <f>GZ55</f>
        <v>270000</v>
      </c>
      <c r="HB55" s="70"/>
      <c r="HC55" s="41">
        <f>HA55/GF55</f>
        <v>8.3600746059250483E-2</v>
      </c>
      <c r="HD55" s="329"/>
      <c r="HE55" s="70">
        <v>11530</v>
      </c>
      <c r="HF55" s="24">
        <f t="shared" si="139"/>
        <v>0</v>
      </c>
      <c r="HG55" s="23">
        <f>HA55/AD55</f>
        <v>15000</v>
      </c>
      <c r="HH55" s="84">
        <f>(GP55+HA55)/AD55</f>
        <v>75953.952777777769</v>
      </c>
      <c r="HI55" s="24">
        <f t="shared" si="118"/>
        <v>0</v>
      </c>
      <c r="HJ55" s="93">
        <v>5.36</v>
      </c>
      <c r="HK55" s="93">
        <v>5.36</v>
      </c>
      <c r="HL55" s="40"/>
      <c r="HM55" s="40"/>
      <c r="HN55" s="23">
        <f t="shared" si="137"/>
        <v>64818.611111111109</v>
      </c>
      <c r="HO55" s="40"/>
      <c r="HP55" s="23">
        <f t="shared" si="108"/>
        <v>75953.952777777769</v>
      </c>
      <c r="HQ55" s="53">
        <f t="shared" si="138"/>
        <v>0.37940421078846664</v>
      </c>
      <c r="HR55" s="40"/>
      <c r="HS55" s="40"/>
      <c r="HT55" s="11">
        <v>240000</v>
      </c>
      <c r="HU55" s="42">
        <f>GE55+HL55</f>
        <v>3075176.7292601359</v>
      </c>
      <c r="HV55" s="296">
        <v>140149</v>
      </c>
      <c r="HW55" s="296">
        <f t="shared" si="99"/>
        <v>70074</v>
      </c>
      <c r="HX55" s="119">
        <v>42430</v>
      </c>
      <c r="HY55" s="245"/>
      <c r="HZ55" s="245"/>
      <c r="IA55" s="119"/>
      <c r="IB55" s="119">
        <v>42501</v>
      </c>
      <c r="IC55" s="245">
        <v>7875</v>
      </c>
      <c r="ID55" s="344">
        <v>42430</v>
      </c>
      <c r="IE55" s="245">
        <v>27162</v>
      </c>
      <c r="IF55" s="119">
        <v>42669</v>
      </c>
      <c r="IG55" s="245">
        <v>14015</v>
      </c>
      <c r="IH55" s="120" t="s">
        <v>600</v>
      </c>
      <c r="II55" s="350">
        <v>21022</v>
      </c>
      <c r="IJ55" s="341"/>
      <c r="IK55" s="341"/>
      <c r="IL55" s="295"/>
      <c r="IM55" s="296"/>
      <c r="IN55" s="295"/>
      <c r="IO55" s="296"/>
      <c r="IP55" s="326"/>
      <c r="IQ55" s="326"/>
      <c r="IR55" s="326"/>
      <c r="IS55" s="326"/>
      <c r="IT55" s="289"/>
      <c r="IU55" s="289"/>
      <c r="IV55" s="289"/>
      <c r="IW55" s="289"/>
      <c r="IX55" s="289"/>
      <c r="IY55" s="289"/>
      <c r="IZ55" s="245">
        <v>27162</v>
      </c>
      <c r="JA55" s="343"/>
      <c r="JB55" s="120"/>
      <c r="JC55" s="343"/>
      <c r="JD55" s="343"/>
      <c r="JE55" s="120"/>
    </row>
    <row r="56" spans="1:265" ht="24.95" customHeight="1">
      <c r="A56" s="89" t="s">
        <v>348</v>
      </c>
      <c r="B56" s="56" t="s">
        <v>28</v>
      </c>
      <c r="C56" s="56" t="s">
        <v>117</v>
      </c>
      <c r="D56" s="56">
        <v>2016</v>
      </c>
      <c r="E56" s="56" t="s">
        <v>289</v>
      </c>
      <c r="F56" s="56" t="s">
        <v>30</v>
      </c>
      <c r="G56" s="56" t="s">
        <v>188</v>
      </c>
      <c r="H56" s="56" t="s">
        <v>264</v>
      </c>
      <c r="I56" s="56"/>
      <c r="J56" s="56" t="s">
        <v>375</v>
      </c>
      <c r="K56" s="275" t="s">
        <v>719</v>
      </c>
      <c r="L56" s="178"/>
      <c r="M56" s="179"/>
      <c r="N56" s="180"/>
      <c r="O56" s="219">
        <v>2872</v>
      </c>
      <c r="P56" s="219">
        <v>516960</v>
      </c>
      <c r="Q56" s="219">
        <f>P56</f>
        <v>516960</v>
      </c>
      <c r="R56" s="219">
        <f t="shared" si="119"/>
        <v>12924</v>
      </c>
      <c r="S56" s="219">
        <f t="shared" si="66"/>
        <v>180</v>
      </c>
      <c r="T56" s="225">
        <f t="shared" si="67"/>
        <v>180</v>
      </c>
      <c r="U56" s="225">
        <f t="shared" si="69"/>
        <v>216.90750717486529</v>
      </c>
      <c r="V56" s="225">
        <f t="shared" si="70"/>
        <v>12924</v>
      </c>
      <c r="W56" s="219">
        <f t="shared" si="71"/>
        <v>71.8</v>
      </c>
      <c r="X56" s="220"/>
      <c r="Y56" s="228">
        <f t="shared" si="72"/>
        <v>0.8298467966573817</v>
      </c>
      <c r="Z56" s="220"/>
      <c r="AA56" s="220"/>
      <c r="AB56" s="221"/>
      <c r="AC56" s="56" t="s">
        <v>16</v>
      </c>
      <c r="AD56" s="345">
        <f t="shared" si="75"/>
        <v>40</v>
      </c>
      <c r="AE56" s="67"/>
      <c r="AF56" s="56">
        <v>40</v>
      </c>
      <c r="AG56" s="56"/>
      <c r="AH56" s="56"/>
      <c r="AI56" s="60">
        <v>2383.79</v>
      </c>
      <c r="AJ56" s="95">
        <v>2383.3200000000002</v>
      </c>
      <c r="AK56" s="60">
        <f>AJ56/AD56</f>
        <v>59.583000000000006</v>
      </c>
      <c r="AL56" s="81"/>
      <c r="AM56" s="81">
        <f>37/AD56</f>
        <v>0.92500000000000004</v>
      </c>
      <c r="AN56" s="81">
        <f>2/AD56</f>
        <v>0.05</v>
      </c>
      <c r="AO56" s="81">
        <f>1/AD56</f>
        <v>2.5000000000000001E-2</v>
      </c>
      <c r="AP56" s="81"/>
      <c r="AQ56" s="60"/>
      <c r="AR56" s="79"/>
      <c r="AS56" s="81"/>
      <c r="AT56" s="60">
        <v>3</v>
      </c>
      <c r="AU56" s="59" t="s">
        <v>621</v>
      </c>
      <c r="AV56" s="56"/>
      <c r="AW56" s="252">
        <v>42314</v>
      </c>
      <c r="AX56" s="252">
        <v>42475</v>
      </c>
      <c r="AY56" s="115"/>
      <c r="AZ56" s="115"/>
      <c r="BA56" s="100"/>
      <c r="BB56" s="216">
        <v>42629</v>
      </c>
      <c r="BC56" s="102">
        <v>42657</v>
      </c>
      <c r="BD56" s="102" t="s">
        <v>177</v>
      </c>
      <c r="BE56" s="216" t="s">
        <v>177</v>
      </c>
      <c r="BF56" s="102" t="s">
        <v>177</v>
      </c>
      <c r="BG56" s="172"/>
      <c r="BH56" s="215"/>
      <c r="BI56" s="172"/>
      <c r="BJ56" s="172"/>
      <c r="BK56" s="103"/>
      <c r="BL56" s="200">
        <f t="shared" si="130"/>
        <v>731</v>
      </c>
      <c r="BM56" s="200">
        <f t="shared" si="131"/>
        <v>1096</v>
      </c>
      <c r="BN56" s="200"/>
      <c r="BO56" s="172"/>
      <c r="BP56" s="177"/>
      <c r="BQ56" s="103"/>
      <c r="BR56" s="104"/>
      <c r="BS56" s="104"/>
      <c r="BT56" s="104"/>
      <c r="BU56" s="741"/>
      <c r="BV56" s="423"/>
      <c r="BW56" s="423"/>
      <c r="BX56" s="711"/>
      <c r="BY56" s="423">
        <f t="shared" si="121"/>
        <v>547</v>
      </c>
      <c r="BZ56" s="423"/>
      <c r="CA56" s="423"/>
      <c r="CB56" s="423" t="s">
        <v>177</v>
      </c>
      <c r="CC56" s="682"/>
      <c r="CD56" s="509"/>
      <c r="CE56" s="384">
        <v>43229</v>
      </c>
      <c r="CF56" s="377"/>
      <c r="CG56" s="494">
        <f t="shared" si="76"/>
        <v>20</v>
      </c>
      <c r="CH56" s="262">
        <v>16</v>
      </c>
      <c r="CI56" s="262">
        <f t="shared" si="100"/>
        <v>17</v>
      </c>
      <c r="CJ56" s="257">
        <f t="shared" si="77"/>
        <v>16</v>
      </c>
      <c r="CK56" s="257">
        <f t="shared" si="78"/>
        <v>17</v>
      </c>
      <c r="CL56" s="257">
        <f t="shared" si="79"/>
        <v>0</v>
      </c>
      <c r="CM56" s="257">
        <f t="shared" si="80"/>
        <v>0</v>
      </c>
      <c r="CN56" s="263"/>
      <c r="CO56" s="263">
        <f t="shared" si="104"/>
        <v>0</v>
      </c>
      <c r="CP56" s="258"/>
      <c r="CQ56" s="699">
        <f t="shared" si="81"/>
        <v>43717</v>
      </c>
      <c r="CR56" s="391">
        <f t="shared" si="122"/>
        <v>43717</v>
      </c>
      <c r="CS56" s="388">
        <f t="shared" si="114"/>
        <v>731</v>
      </c>
      <c r="CT56" s="258"/>
      <c r="CU56" s="258"/>
      <c r="CV56" s="650">
        <f t="shared" si="132"/>
        <v>43747</v>
      </c>
      <c r="CW56" s="506">
        <f t="shared" si="133"/>
        <v>43747</v>
      </c>
      <c r="CX56" s="654"/>
      <c r="CY56" s="123"/>
      <c r="CZ56" s="127"/>
      <c r="DA56" s="127"/>
      <c r="DB56" s="127"/>
      <c r="DC56" s="127"/>
      <c r="DD56" s="127"/>
      <c r="DE56" s="56"/>
      <c r="DF56" s="56"/>
      <c r="DG56" s="56"/>
      <c r="DH56" s="56"/>
      <c r="DI56" s="56"/>
      <c r="DJ56" s="56"/>
      <c r="DK56" s="56"/>
      <c r="DL56" s="56"/>
      <c r="DM56" s="56"/>
      <c r="DN56" s="56"/>
      <c r="DO56" s="56"/>
      <c r="DP56" s="56"/>
      <c r="DQ56" s="56"/>
      <c r="DR56" s="56"/>
      <c r="DS56" s="128">
        <v>42164</v>
      </c>
      <c r="DT56" s="128">
        <v>42179</v>
      </c>
      <c r="DU56" s="128">
        <v>42170</v>
      </c>
      <c r="DV56" s="589">
        <f t="shared" si="82"/>
        <v>-9</v>
      </c>
      <c r="DW56" s="128">
        <v>42415</v>
      </c>
      <c r="DX56" s="128">
        <v>42415</v>
      </c>
      <c r="DY56" s="589">
        <f t="shared" si="83"/>
        <v>0</v>
      </c>
      <c r="DZ56" s="128">
        <v>42405</v>
      </c>
      <c r="EA56" s="128">
        <v>42669</v>
      </c>
      <c r="EB56" s="589">
        <f t="shared" si="84"/>
        <v>264</v>
      </c>
      <c r="EC56" s="128">
        <v>42475</v>
      </c>
      <c r="ED56" s="128">
        <v>42991</v>
      </c>
      <c r="EE56" s="589">
        <f t="shared" si="85"/>
        <v>516</v>
      </c>
      <c r="EF56" s="128">
        <v>42965</v>
      </c>
      <c r="EG56" s="128">
        <v>43070</v>
      </c>
      <c r="EH56" s="589">
        <f t="shared" si="86"/>
        <v>105</v>
      </c>
      <c r="EI56" s="619"/>
      <c r="EJ56" s="594">
        <v>43214</v>
      </c>
      <c r="EK56" s="600">
        <f ca="1">IF(EJ56&lt;TODAY(),TODAY(),EJ56)</f>
        <v>43214</v>
      </c>
      <c r="EL56" s="596">
        <f t="shared" ca="1" si="87"/>
        <v>0</v>
      </c>
      <c r="EM56" s="594">
        <v>43229</v>
      </c>
      <c r="EN56" s="600">
        <f ca="1">IF(EM56&lt;TODAY(),TODAY(),EM56)</f>
        <v>43229</v>
      </c>
      <c r="EO56" s="596">
        <f t="shared" ca="1" si="88"/>
        <v>0</v>
      </c>
      <c r="EP56" s="594"/>
      <c r="EQ56" s="600">
        <f t="shared" ca="1" si="134"/>
        <v>43163</v>
      </c>
      <c r="ER56" s="596" t="str">
        <f t="shared" ca="1" si="89"/>
        <v>0</v>
      </c>
      <c r="ES56" s="594"/>
      <c r="ET56" s="622">
        <f t="shared" ca="1" si="135"/>
        <v>43163</v>
      </c>
      <c r="EU56" s="597" t="str">
        <f t="shared" ca="1" si="90"/>
        <v>0</v>
      </c>
      <c r="EV56" s="600"/>
      <c r="EW56" s="622">
        <f t="shared" ca="1" si="136"/>
        <v>43163</v>
      </c>
      <c r="EX56" s="596" t="str">
        <f t="shared" ca="1" si="91"/>
        <v>0</v>
      </c>
      <c r="EY56" s="600"/>
      <c r="EZ56" s="600">
        <f t="shared" ca="1" si="123"/>
        <v>43163</v>
      </c>
      <c r="FA56" s="596" t="str">
        <f t="shared" ca="1" si="92"/>
        <v>0</v>
      </c>
      <c r="FB56" s="600"/>
      <c r="FC56" s="600"/>
      <c r="FD56" s="596" t="str">
        <f t="shared" si="93"/>
        <v>0</v>
      </c>
      <c r="FE56" s="600"/>
      <c r="FF56" s="600"/>
      <c r="FG56" s="596" t="str">
        <f t="shared" si="94"/>
        <v>0</v>
      </c>
      <c r="FH56" s="600"/>
      <c r="FI56" s="600"/>
      <c r="FJ56" s="596" t="str">
        <f t="shared" si="95"/>
        <v>0</v>
      </c>
      <c r="FK56" s="600"/>
      <c r="FL56" s="600"/>
      <c r="FM56" s="600"/>
      <c r="FN56" s="600">
        <v>43769</v>
      </c>
      <c r="FO56" s="600">
        <f t="shared" si="111"/>
        <v>43717</v>
      </c>
      <c r="FP56" s="598">
        <v>18</v>
      </c>
      <c r="FQ56" s="600">
        <v>43798</v>
      </c>
      <c r="FR56" s="600">
        <f t="shared" si="112"/>
        <v>43747</v>
      </c>
      <c r="FS56" s="627">
        <v>90790</v>
      </c>
      <c r="FT56" s="627">
        <v>90790</v>
      </c>
      <c r="FU56" s="627"/>
      <c r="FV56" s="627"/>
      <c r="FW56" s="628">
        <f t="shared" ca="1" si="96"/>
        <v>29.2</v>
      </c>
      <c r="FX56" s="628">
        <f t="shared" si="120"/>
        <v>-1.7</v>
      </c>
      <c r="FY56" s="624"/>
      <c r="FZ56" s="641"/>
      <c r="GA56" s="641"/>
      <c r="GB56" s="624" t="s">
        <v>878</v>
      </c>
      <c r="GC56" s="118"/>
      <c r="GD56" s="118"/>
      <c r="GE56" s="96">
        <f t="shared" si="124"/>
        <v>5086671</v>
      </c>
      <c r="GF56" s="70">
        <f t="shared" si="105"/>
        <v>5118037.53</v>
      </c>
      <c r="GG56" s="97">
        <f t="shared" si="116"/>
        <v>31366.530000000261</v>
      </c>
      <c r="GH56" s="52">
        <f t="shared" si="125"/>
        <v>2147.0169478016101</v>
      </c>
      <c r="GI56" s="52">
        <f t="shared" si="126"/>
        <v>127950.93825000001</v>
      </c>
      <c r="GJ56" s="96">
        <v>4519361.7020000005</v>
      </c>
      <c r="GK56" s="70">
        <v>4649415</v>
      </c>
      <c r="GL56" s="97">
        <f t="shared" si="97"/>
        <v>130053.29799999949</v>
      </c>
      <c r="GM56" s="138">
        <f t="shared" si="101"/>
        <v>0.92751424489847378</v>
      </c>
      <c r="GN56" s="139">
        <v>0.4</v>
      </c>
      <c r="GO56" s="96">
        <v>1517885</v>
      </c>
      <c r="GP56" s="70">
        <v>1552800.91</v>
      </c>
      <c r="GQ56" s="52">
        <f t="shared" si="127"/>
        <v>38820.022749999996</v>
      </c>
      <c r="GR56" s="98">
        <f t="shared" si="128"/>
        <v>34915.909999999916</v>
      </c>
      <c r="GS56" s="96">
        <f>1944434+824352</f>
        <v>2768786</v>
      </c>
      <c r="GT56" s="70">
        <f t="shared" si="117"/>
        <v>2765236.62</v>
      </c>
      <c r="GU56" s="90">
        <v>586270.37</v>
      </c>
      <c r="GV56" s="13">
        <v>2178966.25</v>
      </c>
      <c r="GW56" s="98">
        <f t="shared" si="115"/>
        <v>-3549.3799999998882</v>
      </c>
      <c r="GX56" s="52">
        <f t="shared" si="129"/>
        <v>69130.915500000003</v>
      </c>
      <c r="GY56" s="70"/>
      <c r="GZ56" s="96">
        <v>800000</v>
      </c>
      <c r="HA56" s="70">
        <f>GZ56</f>
        <v>800000</v>
      </c>
      <c r="HB56" s="70"/>
      <c r="HC56" s="91">
        <f>HA56/GF56</f>
        <v>0.15630991279581335</v>
      </c>
      <c r="HD56" s="329"/>
      <c r="HE56" s="70"/>
      <c r="HF56" s="92">
        <f t="shared" si="139"/>
        <v>0</v>
      </c>
      <c r="HG56" s="52">
        <f>HA56/AD56</f>
        <v>20000</v>
      </c>
      <c r="HH56" s="84">
        <f>(GO56+GZ56)/AD56</f>
        <v>57947.125</v>
      </c>
      <c r="HI56" s="92">
        <f t="shared" si="118"/>
        <v>0</v>
      </c>
      <c r="HJ56" s="93">
        <v>5.76</v>
      </c>
      <c r="HK56" s="93">
        <v>5.7</v>
      </c>
      <c r="HL56" s="94"/>
      <c r="HM56" s="94"/>
      <c r="HN56" s="52">
        <f t="shared" si="137"/>
        <v>57947.125</v>
      </c>
      <c r="HO56" s="94"/>
      <c r="HP56" s="52">
        <f t="shared" si="108"/>
        <v>58820.022750000004</v>
      </c>
      <c r="HQ56" s="53">
        <f t="shared" si="138"/>
        <v>0.45567818323614795</v>
      </c>
      <c r="HR56" s="94"/>
      <c r="HS56" s="94"/>
      <c r="HT56" s="70">
        <v>0</v>
      </c>
      <c r="HU56" s="99">
        <f>GE56+HL56</f>
        <v>5086671</v>
      </c>
      <c r="HV56" s="296">
        <v>251153</v>
      </c>
      <c r="HW56" s="296">
        <f t="shared" si="99"/>
        <v>126076</v>
      </c>
      <c r="HX56" s="119">
        <v>42180</v>
      </c>
      <c r="HY56" s="245">
        <v>21429</v>
      </c>
      <c r="HZ56" s="245"/>
      <c r="IA56" s="119"/>
      <c r="IB56" s="119">
        <v>42633</v>
      </c>
      <c r="IC56" s="245">
        <v>12215</v>
      </c>
      <c r="ID56" s="119">
        <v>42429</v>
      </c>
      <c r="IE56" s="245">
        <v>24930</v>
      </c>
      <c r="IF56" s="119" t="s">
        <v>609</v>
      </c>
      <c r="IG56" s="245">
        <v>29829</v>
      </c>
      <c r="IH56" s="120">
        <v>43090</v>
      </c>
      <c r="II56" s="350">
        <v>37673</v>
      </c>
      <c r="IJ56" s="341"/>
      <c r="IK56" s="341"/>
      <c r="IL56" s="295"/>
      <c r="IM56" s="296"/>
      <c r="IN56" s="295"/>
      <c r="IO56" s="296"/>
      <c r="IP56" s="326"/>
      <c r="IQ56" s="326"/>
      <c r="IR56" s="326"/>
      <c r="IS56" s="326"/>
      <c r="IT56" s="289"/>
      <c r="IU56" s="289"/>
      <c r="IV56" s="289"/>
      <c r="IW56" s="289"/>
      <c r="IX56" s="289"/>
      <c r="IY56" s="289"/>
      <c r="IZ56" s="245">
        <v>24930</v>
      </c>
      <c r="JA56" s="128"/>
      <c r="JB56" s="120"/>
      <c r="JC56" s="128"/>
      <c r="JD56" s="128"/>
      <c r="JE56" s="120"/>
    </row>
    <row r="57" spans="1:265" ht="42" customHeight="1">
      <c r="A57" s="269" t="s">
        <v>734</v>
      </c>
      <c r="B57" s="56" t="s">
        <v>46</v>
      </c>
      <c r="C57" s="56" t="s">
        <v>117</v>
      </c>
      <c r="D57" s="56">
        <v>2016</v>
      </c>
      <c r="E57" s="56" t="s">
        <v>327</v>
      </c>
      <c r="F57" s="56" t="s">
        <v>340</v>
      </c>
      <c r="G57" s="7" t="s">
        <v>190</v>
      </c>
      <c r="H57" s="56" t="s">
        <v>275</v>
      </c>
      <c r="I57" s="56"/>
      <c r="J57" s="56" t="s">
        <v>376</v>
      </c>
      <c r="K57" s="275" t="s">
        <v>674</v>
      </c>
      <c r="L57" s="178"/>
      <c r="M57" s="179"/>
      <c r="N57" s="180"/>
      <c r="O57" s="219">
        <v>8111</v>
      </c>
      <c r="P57" s="219">
        <v>405550</v>
      </c>
      <c r="Q57" s="219">
        <v>405550</v>
      </c>
      <c r="R57" s="219">
        <f t="shared" si="119"/>
        <v>11587.142857142857</v>
      </c>
      <c r="S57" s="219">
        <f t="shared" si="66"/>
        <v>50</v>
      </c>
      <c r="T57" s="225">
        <f t="shared" si="67"/>
        <v>50</v>
      </c>
      <c r="U57" s="225">
        <f t="shared" si="69"/>
        <v>175.71642735205677</v>
      </c>
      <c r="V57" s="225">
        <f t="shared" si="70"/>
        <v>11587.142857142857</v>
      </c>
      <c r="W57" s="219">
        <f t="shared" si="71"/>
        <v>231.74285714285713</v>
      </c>
      <c r="X57" s="220"/>
      <c r="Y57" s="228">
        <f t="shared" si="72"/>
        <v>0.28454937738873137</v>
      </c>
      <c r="Z57" s="220"/>
      <c r="AA57" s="220">
        <v>450</v>
      </c>
      <c r="AB57" s="221"/>
      <c r="AC57" s="56" t="s">
        <v>16</v>
      </c>
      <c r="AD57" s="345">
        <f t="shared" si="75"/>
        <v>35</v>
      </c>
      <c r="AE57" s="67"/>
      <c r="AF57" s="56">
        <v>35</v>
      </c>
      <c r="AG57" s="56"/>
      <c r="AH57" s="56"/>
      <c r="AI57" s="60">
        <v>2316.3530000000001</v>
      </c>
      <c r="AJ57" s="239">
        <v>2307.98</v>
      </c>
      <c r="AK57" s="9">
        <f>AJ57/AD57</f>
        <v>65.942285714285717</v>
      </c>
      <c r="AL57" s="81">
        <f>8/AD57</f>
        <v>0.22857142857142856</v>
      </c>
      <c r="AM57" s="81">
        <f>8/AD57</f>
        <v>0.22857142857142856</v>
      </c>
      <c r="AN57" s="81">
        <f>8/AD57</f>
        <v>0.22857142857142856</v>
      </c>
      <c r="AO57" s="81">
        <f>11/AD57</f>
        <v>0.31428571428571428</v>
      </c>
      <c r="AP57" s="81"/>
      <c r="AQ57" s="60"/>
      <c r="AR57" s="79"/>
      <c r="AS57" s="81"/>
      <c r="AT57" s="60"/>
      <c r="AU57" s="59" t="s">
        <v>621</v>
      </c>
      <c r="AV57" s="56"/>
      <c r="AW57" s="252">
        <v>42396</v>
      </c>
      <c r="AX57" s="252">
        <v>42475</v>
      </c>
      <c r="AY57" s="115"/>
      <c r="AZ57" s="115"/>
      <c r="BA57" s="100"/>
      <c r="BB57" s="216">
        <v>42660</v>
      </c>
      <c r="BC57" s="102"/>
      <c r="BD57" s="102"/>
      <c r="BE57" s="216"/>
      <c r="BF57" s="102"/>
      <c r="BG57" s="172">
        <v>42886</v>
      </c>
      <c r="BH57" s="215">
        <v>42929</v>
      </c>
      <c r="BI57" s="172">
        <v>43013</v>
      </c>
      <c r="BJ57" s="172">
        <v>42957</v>
      </c>
      <c r="BK57" s="323">
        <f>BI57</f>
        <v>43013</v>
      </c>
      <c r="BL57" s="322">
        <f t="shared" si="130"/>
        <v>43743</v>
      </c>
      <c r="BM57" s="322">
        <f t="shared" si="131"/>
        <v>44109</v>
      </c>
      <c r="BN57" s="322" t="str">
        <f>IF(CW57&gt;BL57,"oui","non")</f>
        <v>non</v>
      </c>
      <c r="BO57" s="172">
        <v>42920</v>
      </c>
      <c r="BP57" s="116" t="s">
        <v>601</v>
      </c>
      <c r="BQ57" s="103"/>
      <c r="BR57" s="104"/>
      <c r="BS57" s="104"/>
      <c r="BT57" s="104"/>
      <c r="BU57" s="170"/>
      <c r="BV57" s="174"/>
      <c r="BW57" s="268"/>
      <c r="BX57" s="169"/>
      <c r="BY57" s="174">
        <f t="shared" si="121"/>
        <v>547</v>
      </c>
      <c r="BZ57" s="268"/>
      <c r="CA57" s="268"/>
      <c r="CB57" s="268" t="s">
        <v>177</v>
      </c>
      <c r="CC57" s="682"/>
      <c r="CD57" s="509"/>
      <c r="CE57" s="492">
        <v>43164</v>
      </c>
      <c r="CF57" s="493"/>
      <c r="CG57" s="499">
        <f t="shared" si="76"/>
        <v>16.8</v>
      </c>
      <c r="CH57" s="273">
        <v>14</v>
      </c>
      <c r="CI57" s="262">
        <f t="shared" si="100"/>
        <v>15</v>
      </c>
      <c r="CJ57" s="257">
        <f t="shared" si="77"/>
        <v>14</v>
      </c>
      <c r="CK57" s="257">
        <f t="shared" si="78"/>
        <v>15</v>
      </c>
      <c r="CL57" s="257">
        <f t="shared" si="79"/>
        <v>0</v>
      </c>
      <c r="CM57" s="257">
        <f t="shared" si="80"/>
        <v>0</v>
      </c>
      <c r="CN57" s="263"/>
      <c r="CO57" s="263">
        <f t="shared" si="104"/>
        <v>0</v>
      </c>
      <c r="CP57" s="258"/>
      <c r="CQ57" s="699">
        <f t="shared" si="81"/>
        <v>43590</v>
      </c>
      <c r="CR57" s="446">
        <v>43590</v>
      </c>
      <c r="CS57" s="388">
        <f t="shared" si="114"/>
        <v>731</v>
      </c>
      <c r="CT57" s="258"/>
      <c r="CU57" s="258"/>
      <c r="CV57" s="650">
        <f t="shared" si="132"/>
        <v>43621</v>
      </c>
      <c r="CW57" s="506">
        <f t="shared" si="133"/>
        <v>43621</v>
      </c>
      <c r="CX57" s="654"/>
      <c r="CY57" s="123"/>
      <c r="CZ57" s="127"/>
      <c r="DA57" s="127"/>
      <c r="DB57" s="127"/>
      <c r="DC57" s="127"/>
      <c r="DD57" s="127"/>
      <c r="DE57" s="56"/>
      <c r="DF57" s="56"/>
      <c r="DG57" s="56"/>
      <c r="DH57" s="56"/>
      <c r="DI57" s="56"/>
      <c r="DJ57" s="56"/>
      <c r="DK57" s="56"/>
      <c r="DL57" s="56"/>
      <c r="DM57" s="56"/>
      <c r="DN57" s="56"/>
      <c r="DO57" s="56"/>
      <c r="DP57" s="56"/>
      <c r="DQ57" s="56"/>
      <c r="DR57" s="56"/>
      <c r="DS57" s="128">
        <v>42296</v>
      </c>
      <c r="DT57" s="128">
        <v>42307</v>
      </c>
      <c r="DU57" s="128">
        <v>42296</v>
      </c>
      <c r="DV57" s="589">
        <f t="shared" si="82"/>
        <v>-11</v>
      </c>
      <c r="DW57" s="128">
        <v>42412</v>
      </c>
      <c r="DX57" s="128">
        <v>42412</v>
      </c>
      <c r="DY57" s="589">
        <f t="shared" si="83"/>
        <v>0</v>
      </c>
      <c r="DZ57" s="128">
        <v>42458</v>
      </c>
      <c r="EA57" s="128">
        <v>42593</v>
      </c>
      <c r="EB57" s="589">
        <f t="shared" si="84"/>
        <v>135</v>
      </c>
      <c r="EC57" s="128">
        <v>42655</v>
      </c>
      <c r="ED57" s="128">
        <v>42683</v>
      </c>
      <c r="EE57" s="589">
        <f t="shared" si="85"/>
        <v>28</v>
      </c>
      <c r="EF57" s="128">
        <v>42779</v>
      </c>
      <c r="EG57" s="128">
        <v>42892</v>
      </c>
      <c r="EH57" s="621">
        <f t="shared" si="86"/>
        <v>113</v>
      </c>
      <c r="EI57" s="128">
        <v>43123</v>
      </c>
      <c r="EJ57" s="343">
        <v>43140</v>
      </c>
      <c r="EK57" s="128">
        <v>43160</v>
      </c>
      <c r="EL57" s="621">
        <f t="shared" si="87"/>
        <v>20</v>
      </c>
      <c r="EM57" s="343">
        <v>43154</v>
      </c>
      <c r="EN57" s="128">
        <v>43164</v>
      </c>
      <c r="EO57" s="589">
        <f t="shared" si="88"/>
        <v>10</v>
      </c>
      <c r="EP57" s="594"/>
      <c r="EQ57" s="600">
        <f t="shared" ca="1" si="134"/>
        <v>43163</v>
      </c>
      <c r="ER57" s="596" t="str">
        <f t="shared" ca="1" si="89"/>
        <v>0</v>
      </c>
      <c r="ES57" s="594"/>
      <c r="ET57" s="622">
        <f t="shared" ca="1" si="135"/>
        <v>43163</v>
      </c>
      <c r="EU57" s="597" t="str">
        <f t="shared" ca="1" si="90"/>
        <v>0</v>
      </c>
      <c r="EV57" s="600"/>
      <c r="EW57" s="622">
        <f t="shared" ca="1" si="136"/>
        <v>43163</v>
      </c>
      <c r="EX57" s="596" t="str">
        <f t="shared" ca="1" si="91"/>
        <v>0</v>
      </c>
      <c r="EY57" s="600"/>
      <c r="EZ57" s="600">
        <f t="shared" ca="1" si="123"/>
        <v>43163</v>
      </c>
      <c r="FA57" s="596" t="str">
        <f t="shared" ca="1" si="92"/>
        <v>0</v>
      </c>
      <c r="FB57" s="608"/>
      <c r="FC57" s="608"/>
      <c r="FD57" s="596" t="str">
        <f t="shared" si="93"/>
        <v>0</v>
      </c>
      <c r="FE57" s="639"/>
      <c r="FF57" s="600"/>
      <c r="FG57" s="596" t="str">
        <f t="shared" si="94"/>
        <v>0</v>
      </c>
      <c r="FH57" s="600"/>
      <c r="FI57" s="600"/>
      <c r="FJ57" s="596" t="str">
        <f t="shared" si="95"/>
        <v>0</v>
      </c>
      <c r="FK57" s="600"/>
      <c r="FL57" s="600"/>
      <c r="FM57" s="600"/>
      <c r="FN57" s="600">
        <v>43590</v>
      </c>
      <c r="FO57" s="600">
        <f t="shared" si="111"/>
        <v>43590</v>
      </c>
      <c r="FP57" s="598">
        <v>16.166666666666668</v>
      </c>
      <c r="FQ57" s="600">
        <v>43621</v>
      </c>
      <c r="FR57" s="600">
        <f t="shared" si="112"/>
        <v>43621</v>
      </c>
      <c r="FS57" s="627">
        <v>0</v>
      </c>
      <c r="FT57" s="627">
        <v>0</v>
      </c>
      <c r="FU57" s="627">
        <v>122000</v>
      </c>
      <c r="FV57" s="627"/>
      <c r="FW57" s="628">
        <f t="shared" si="96"/>
        <v>9.8333333333333339</v>
      </c>
      <c r="FX57" s="628">
        <f t="shared" si="120"/>
        <v>0</v>
      </c>
      <c r="FY57" s="624"/>
      <c r="FZ57" s="641"/>
      <c r="GA57" s="641" t="s">
        <v>873</v>
      </c>
      <c r="GB57" s="624"/>
      <c r="GC57" s="118"/>
      <c r="GD57" s="118"/>
      <c r="GE57" s="96">
        <f t="shared" si="124"/>
        <v>4867349.3792960932</v>
      </c>
      <c r="GF57" s="70">
        <f t="shared" si="105"/>
        <v>5359988</v>
      </c>
      <c r="GG57" s="12">
        <f t="shared" si="116"/>
        <v>492638.62070390675</v>
      </c>
      <c r="GH57" s="23">
        <f t="shared" si="125"/>
        <v>2313.9771874148714</v>
      </c>
      <c r="GI57" s="23">
        <f t="shared" si="126"/>
        <v>153142.51428571428</v>
      </c>
      <c r="GJ57" s="96">
        <v>4254582.75</v>
      </c>
      <c r="GK57" s="70">
        <v>4784510</v>
      </c>
      <c r="GL57" s="12">
        <f t="shared" si="97"/>
        <v>529927.25</v>
      </c>
      <c r="GM57" s="137">
        <f t="shared" si="101"/>
        <v>0.91137978480548831</v>
      </c>
      <c r="GN57" s="139">
        <v>0.4</v>
      </c>
      <c r="GO57" s="96">
        <v>1361329.3792960932</v>
      </c>
      <c r="GP57" s="508">
        <v>1629529</v>
      </c>
      <c r="GQ57" s="23">
        <f t="shared" si="127"/>
        <v>46557.971428571429</v>
      </c>
      <c r="GR57" s="38">
        <f t="shared" si="128"/>
        <v>268199.62070390675</v>
      </c>
      <c r="GS57" s="10">
        <v>2561020</v>
      </c>
      <c r="GT57" s="508">
        <f t="shared" si="117"/>
        <v>2760459</v>
      </c>
      <c r="GU57" s="693">
        <v>738771</v>
      </c>
      <c r="GV57" s="518">
        <v>2021688</v>
      </c>
      <c r="GW57" s="38">
        <f t="shared" si="115"/>
        <v>199439</v>
      </c>
      <c r="GX57" s="23">
        <f t="shared" si="129"/>
        <v>78870.257142857139</v>
      </c>
      <c r="GY57" s="70"/>
      <c r="GZ57" s="96">
        <v>945000</v>
      </c>
      <c r="HA57" s="11">
        <f>GZ57</f>
        <v>945000</v>
      </c>
      <c r="HB57" s="70"/>
      <c r="HC57" s="41">
        <f>HA57/GF57</f>
        <v>0.17630636486499596</v>
      </c>
      <c r="HD57" s="329"/>
      <c r="HE57" s="70">
        <v>25000</v>
      </c>
      <c r="HF57" s="24">
        <f t="shared" si="139"/>
        <v>0</v>
      </c>
      <c r="HG57" s="23">
        <f>HA57/AD57</f>
        <v>27000</v>
      </c>
      <c r="HH57" s="84">
        <f>(GP57+HA57)/AD57</f>
        <v>73557.971428571429</v>
      </c>
      <c r="HI57" s="24">
        <f t="shared" si="118"/>
        <v>0</v>
      </c>
      <c r="HJ57" s="93">
        <v>5.57</v>
      </c>
      <c r="HK57" s="93">
        <v>5.54</v>
      </c>
      <c r="HL57" s="40"/>
      <c r="HM57" s="40"/>
      <c r="HN57" s="23">
        <f t="shared" si="137"/>
        <v>65895.125122745521</v>
      </c>
      <c r="HO57" s="40"/>
      <c r="HP57" s="23">
        <f t="shared" si="108"/>
        <v>73557.971428571429</v>
      </c>
      <c r="HQ57" s="53">
        <f t="shared" si="138"/>
        <v>0.47383682566662805</v>
      </c>
      <c r="HR57" s="40"/>
      <c r="HS57" s="40"/>
      <c r="HT57" s="11"/>
      <c r="HU57" s="42">
        <f>GF57+HL57</f>
        <v>5359988</v>
      </c>
      <c r="HV57" s="296">
        <v>265262</v>
      </c>
      <c r="HW57" s="296">
        <f t="shared" si="99"/>
        <v>145894</v>
      </c>
      <c r="HX57" s="119">
        <v>42335</v>
      </c>
      <c r="HY57" s="245">
        <v>26176</v>
      </c>
      <c r="HZ57" s="245"/>
      <c r="IA57" s="119"/>
      <c r="IB57" s="119">
        <v>42501</v>
      </c>
      <c r="IC57" s="245">
        <v>17712</v>
      </c>
      <c r="ID57" s="119">
        <v>42430</v>
      </c>
      <c r="IE57" s="245">
        <v>20368</v>
      </c>
      <c r="IF57" s="119">
        <v>42670</v>
      </c>
      <c r="IG57" s="245">
        <v>25703</v>
      </c>
      <c r="IH57" s="120" t="s">
        <v>599</v>
      </c>
      <c r="II57" s="350">
        <v>38553</v>
      </c>
      <c r="IJ57" s="341"/>
      <c r="IK57" s="341"/>
      <c r="IL57" s="128">
        <v>43083</v>
      </c>
      <c r="IM57" s="245">
        <v>17382</v>
      </c>
      <c r="IN57" s="295"/>
      <c r="IO57" s="300"/>
      <c r="IP57" s="327"/>
      <c r="IQ57" s="327"/>
      <c r="IR57" s="327"/>
      <c r="IS57" s="327"/>
      <c r="IT57" s="252">
        <v>42822</v>
      </c>
      <c r="IU57" s="312"/>
      <c r="IV57" s="289"/>
      <c r="IW57" s="289"/>
      <c r="IX57" s="289"/>
      <c r="IY57" s="289"/>
      <c r="IZ57" s="245">
        <v>20368</v>
      </c>
      <c r="JA57" s="343"/>
      <c r="JB57" s="120"/>
      <c r="JC57" s="343"/>
      <c r="JD57" s="343"/>
      <c r="JE57" s="120"/>
    </row>
    <row r="58" spans="1:265" ht="24.95" customHeight="1">
      <c r="A58" s="89" t="s">
        <v>832</v>
      </c>
      <c r="B58" s="56" t="s">
        <v>107</v>
      </c>
      <c r="C58" s="56" t="s">
        <v>119</v>
      </c>
      <c r="D58" s="56">
        <v>2017</v>
      </c>
      <c r="E58" s="56" t="s">
        <v>618</v>
      </c>
      <c r="F58" s="56" t="s">
        <v>565</v>
      </c>
      <c r="G58" s="56" t="s">
        <v>519</v>
      </c>
      <c r="H58" s="56" t="s">
        <v>182</v>
      </c>
      <c r="I58" s="56"/>
      <c r="J58" s="56" t="s">
        <v>464</v>
      </c>
      <c r="K58" s="336"/>
      <c r="L58" s="178"/>
      <c r="M58" s="179"/>
      <c r="N58" s="180"/>
      <c r="O58" s="219">
        <v>4801</v>
      </c>
      <c r="P58" s="219">
        <v>473822</v>
      </c>
      <c r="Q58" s="219">
        <v>473822</v>
      </c>
      <c r="R58" s="219">
        <f t="shared" si="119"/>
        <v>15794.066666666668</v>
      </c>
      <c r="S58" s="219">
        <f t="shared" si="66"/>
        <v>98.692355759216824</v>
      </c>
      <c r="T58" s="225">
        <f t="shared" si="67"/>
        <v>98.692355759216824</v>
      </c>
      <c r="U58" s="225">
        <f t="shared" si="69"/>
        <v>277.36300788498573</v>
      </c>
      <c r="V58" s="225">
        <f t="shared" si="70"/>
        <v>15794.066666666668</v>
      </c>
      <c r="W58" s="219">
        <f t="shared" si="71"/>
        <v>160.03333333333333</v>
      </c>
      <c r="X58" s="220"/>
      <c r="Y58" s="221">
        <f t="shared" si="72"/>
        <v>0.35582378671110182</v>
      </c>
      <c r="Z58" s="220"/>
      <c r="AA58" s="220"/>
      <c r="AB58" s="221"/>
      <c r="AC58" s="56" t="s">
        <v>16</v>
      </c>
      <c r="AD58" s="345">
        <f t="shared" si="75"/>
        <v>30</v>
      </c>
      <c r="AE58" s="67"/>
      <c r="AF58" s="56">
        <v>30</v>
      </c>
      <c r="AG58" s="56"/>
      <c r="AH58" s="7"/>
      <c r="AI58" s="60">
        <v>1708.31</v>
      </c>
      <c r="AJ58" s="239">
        <v>1708.31</v>
      </c>
      <c r="AK58" s="9"/>
      <c r="AL58" s="81"/>
      <c r="AM58" s="81"/>
      <c r="AN58" s="81"/>
      <c r="AO58" s="81"/>
      <c r="AP58" s="81"/>
      <c r="AQ58" s="60"/>
      <c r="AR58" s="79"/>
      <c r="AS58" s="81"/>
      <c r="AT58" s="60"/>
      <c r="AU58" s="59" t="s">
        <v>621</v>
      </c>
      <c r="AV58" s="56"/>
      <c r="AW58" s="56"/>
      <c r="AX58" s="56"/>
      <c r="AY58" s="115"/>
      <c r="AZ58" s="115"/>
      <c r="BA58" s="100" t="s">
        <v>177</v>
      </c>
      <c r="BB58" s="216">
        <v>42909</v>
      </c>
      <c r="BC58" s="102"/>
      <c r="BD58" s="102"/>
      <c r="BE58" s="216"/>
      <c r="BF58" s="102"/>
      <c r="BG58" s="172">
        <v>42967</v>
      </c>
      <c r="BH58" s="214"/>
      <c r="BI58" s="172"/>
      <c r="BJ58" s="172"/>
      <c r="BK58" s="103"/>
      <c r="BL58" s="200">
        <f t="shared" si="130"/>
        <v>731</v>
      </c>
      <c r="BM58" s="200">
        <f t="shared" si="131"/>
        <v>1096</v>
      </c>
      <c r="BN58" s="200"/>
      <c r="BO58" s="171"/>
      <c r="BP58" s="177"/>
      <c r="BQ58" s="103"/>
      <c r="BR58" s="104"/>
      <c r="BS58" s="104"/>
      <c r="BT58" s="104"/>
      <c r="BU58" s="170"/>
      <c r="BV58" s="174"/>
      <c r="BW58" s="268"/>
      <c r="BX58" s="169">
        <v>3443980.72</v>
      </c>
      <c r="BY58" s="174"/>
      <c r="BZ58" s="268"/>
      <c r="CA58" s="268"/>
      <c r="CB58" s="268">
        <v>43768</v>
      </c>
      <c r="CC58" s="681">
        <f>(CW58-CB58)/30</f>
        <v>-6.5666666666666664</v>
      </c>
      <c r="CD58" s="509"/>
      <c r="CE58" s="492">
        <v>43070</v>
      </c>
      <c r="CF58" s="493">
        <v>2017</v>
      </c>
      <c r="CG58" s="499">
        <f t="shared" si="76"/>
        <v>5.3666666666666663</v>
      </c>
      <c r="CH58" s="273">
        <v>15</v>
      </c>
      <c r="CI58" s="273">
        <f t="shared" si="100"/>
        <v>16</v>
      </c>
      <c r="CJ58" s="257">
        <f t="shared" si="77"/>
        <v>15</v>
      </c>
      <c r="CK58" s="257">
        <f t="shared" si="78"/>
        <v>16</v>
      </c>
      <c r="CL58" s="257">
        <f t="shared" si="79"/>
        <v>0</v>
      </c>
      <c r="CM58" s="257">
        <f t="shared" si="80"/>
        <v>0</v>
      </c>
      <c r="CN58" s="263"/>
      <c r="CO58" s="263">
        <f t="shared" si="104"/>
        <v>0</v>
      </c>
      <c r="CP58" s="258"/>
      <c r="CQ58" s="699">
        <f t="shared" si="81"/>
        <v>43525</v>
      </c>
      <c r="CR58" s="446">
        <f t="shared" ref="CR58:CR72" si="140">DATE(YEAR(CE58),MONTH(CE58)+CH58,DAY(CE58))</f>
        <v>43525</v>
      </c>
      <c r="CS58" s="388">
        <f t="shared" si="114"/>
        <v>731</v>
      </c>
      <c r="CT58" s="258"/>
      <c r="CU58" s="258"/>
      <c r="CV58" s="650">
        <f t="shared" si="132"/>
        <v>43556</v>
      </c>
      <c r="CW58" s="506">
        <f>DATE(YEAR(CV58),MONTH(CV58),DAY(CV58)+15)</f>
        <v>43571</v>
      </c>
      <c r="CX58" s="654"/>
      <c r="CY58" s="123"/>
      <c r="CZ58" s="127"/>
      <c r="DA58" s="127"/>
      <c r="DB58" s="127"/>
      <c r="DC58" s="127"/>
      <c r="DD58" s="127"/>
      <c r="DE58" s="56"/>
      <c r="DF58" s="56"/>
      <c r="DG58" s="56"/>
      <c r="DH58" s="56"/>
      <c r="DI58" s="56"/>
      <c r="DJ58" s="56"/>
      <c r="DK58" s="56"/>
      <c r="DL58" s="56"/>
      <c r="DM58" s="56"/>
      <c r="DN58" s="56"/>
      <c r="DO58" s="56"/>
      <c r="DP58" s="56"/>
      <c r="DQ58" s="56"/>
      <c r="DR58" s="56"/>
      <c r="DS58" s="485"/>
      <c r="DT58" s="128"/>
      <c r="DU58" s="128"/>
      <c r="DV58" s="589" t="str">
        <f t="shared" si="82"/>
        <v>0</v>
      </c>
      <c r="DW58" s="128">
        <v>42772</v>
      </c>
      <c r="DX58" s="128">
        <v>42731</v>
      </c>
      <c r="DY58" s="589">
        <f t="shared" si="83"/>
        <v>-41</v>
      </c>
      <c r="DZ58" s="343"/>
      <c r="EA58" s="343"/>
      <c r="EB58" s="589" t="str">
        <f t="shared" si="84"/>
        <v>0</v>
      </c>
      <c r="EC58" s="128"/>
      <c r="ED58" s="128"/>
      <c r="EE58" s="589" t="str">
        <f t="shared" si="85"/>
        <v>0</v>
      </c>
      <c r="EF58" s="128"/>
      <c r="EG58" s="128"/>
      <c r="EH58" s="589" t="str">
        <f t="shared" si="86"/>
        <v>0</v>
      </c>
      <c r="EI58" s="486"/>
      <c r="EJ58" s="343">
        <v>43069</v>
      </c>
      <c r="EK58" s="128">
        <v>43073</v>
      </c>
      <c r="EL58" s="589">
        <f t="shared" si="87"/>
        <v>4</v>
      </c>
      <c r="EM58" s="343">
        <v>43080</v>
      </c>
      <c r="EN58" s="128">
        <v>43070</v>
      </c>
      <c r="EO58" s="589">
        <f t="shared" si="88"/>
        <v>-10</v>
      </c>
      <c r="EP58" s="594"/>
      <c r="EQ58" s="600">
        <f t="shared" ca="1" si="134"/>
        <v>43163</v>
      </c>
      <c r="ER58" s="596" t="str">
        <f t="shared" ca="1" si="89"/>
        <v>0</v>
      </c>
      <c r="ES58" s="594"/>
      <c r="ET58" s="622">
        <f t="shared" ca="1" si="135"/>
        <v>43163</v>
      </c>
      <c r="EU58" s="597" t="str">
        <f t="shared" ca="1" si="90"/>
        <v>0</v>
      </c>
      <c r="EV58" s="600"/>
      <c r="EW58" s="600">
        <f t="shared" ca="1" si="136"/>
        <v>43163</v>
      </c>
      <c r="EX58" s="596" t="str">
        <f t="shared" ca="1" si="91"/>
        <v>0</v>
      </c>
      <c r="EY58" s="600"/>
      <c r="EZ58" s="600">
        <f t="shared" ca="1" si="123"/>
        <v>43163</v>
      </c>
      <c r="FA58" s="596" t="str">
        <f t="shared" ca="1" si="92"/>
        <v>0</v>
      </c>
      <c r="FB58" s="600"/>
      <c r="FC58" s="600">
        <f t="shared" ref="FC58:FC72" ca="1" si="141">IF(FB58&lt;TODAY(),TODAY(),FB58)</f>
        <v>43163</v>
      </c>
      <c r="FD58" s="596" t="str">
        <f t="shared" ca="1" si="93"/>
        <v>0</v>
      </c>
      <c r="FE58" s="600"/>
      <c r="FF58" s="600">
        <f t="shared" ref="FF58:FF72" ca="1" si="142">IF(FE58&lt;TODAY(),TODAY(),FE58)</f>
        <v>43163</v>
      </c>
      <c r="FG58" s="596" t="str">
        <f t="shared" ca="1" si="94"/>
        <v>0</v>
      </c>
      <c r="FH58" s="600"/>
      <c r="FI58" s="600">
        <f t="shared" ref="FI58:FI72" ca="1" si="143">IF(FH58&lt;TODAY(),TODAY(),FH58)</f>
        <v>43163</v>
      </c>
      <c r="FJ58" s="596" t="str">
        <f t="shared" ca="1" si="95"/>
        <v>0</v>
      </c>
      <c r="FK58" s="600"/>
      <c r="FL58" s="600"/>
      <c r="FM58" s="600"/>
      <c r="FN58" s="600">
        <v>43620</v>
      </c>
      <c r="FO58" s="600">
        <f t="shared" si="111"/>
        <v>43525</v>
      </c>
      <c r="FP58" s="598">
        <f t="shared" ref="FP58:FP103" si="144">(DATEDIF(EN58,FN58,"d"))/30</f>
        <v>18.333333333333332</v>
      </c>
      <c r="FQ58" s="600">
        <v>43650</v>
      </c>
      <c r="FR58" s="600">
        <f t="shared" si="112"/>
        <v>43571</v>
      </c>
      <c r="FS58" s="627">
        <v>0</v>
      </c>
      <c r="FT58" s="627">
        <v>0</v>
      </c>
      <c r="FU58" s="627">
        <v>0</v>
      </c>
      <c r="FV58" s="627"/>
      <c r="FW58" s="628">
        <f t="shared" si="96"/>
        <v>-1.5666666666666667</v>
      </c>
      <c r="FX58" s="628">
        <f t="shared" si="120"/>
        <v>-2.6333333333333333</v>
      </c>
      <c r="FY58" s="624"/>
      <c r="FZ58" s="641"/>
      <c r="GA58" s="624" t="s">
        <v>836</v>
      </c>
      <c r="GB58" s="624"/>
      <c r="GC58" s="118"/>
      <c r="GD58" s="118"/>
      <c r="GE58" s="96">
        <f>+GO58+GS58+GZ58+HT58+HE58</f>
        <v>3803779.2429890437</v>
      </c>
      <c r="GF58" s="70">
        <f t="shared" si="105"/>
        <v>3855387</v>
      </c>
      <c r="GG58" s="10">
        <f t="shared" si="116"/>
        <v>51607.757010956295</v>
      </c>
      <c r="GH58" s="10">
        <f t="shared" ref="GH58:GH99" si="145">GE58/AI58</f>
        <v>2226.6328962477792</v>
      </c>
      <c r="GI58" s="502">
        <f t="shared" ref="GI58:GI77" si="146">GE58/AD58</f>
        <v>126792.64143296813</v>
      </c>
      <c r="GJ58" s="96"/>
      <c r="GK58" s="96"/>
      <c r="GL58" s="10">
        <f t="shared" si="97"/>
        <v>0</v>
      </c>
      <c r="GM58" s="10">
        <f t="shared" si="101"/>
        <v>0</v>
      </c>
      <c r="GN58" s="329">
        <v>0.4</v>
      </c>
      <c r="GO58" s="96">
        <v>1081657</v>
      </c>
      <c r="GP58" s="11">
        <v>1181624</v>
      </c>
      <c r="GQ58" s="10">
        <f t="shared" ref="GQ58:GQ77" si="147">GO58/AD58</f>
        <v>36055.23333333333</v>
      </c>
      <c r="GR58" s="10">
        <f t="shared" si="128"/>
        <v>99967</v>
      </c>
      <c r="GS58" s="479">
        <v>2022122.2429890437</v>
      </c>
      <c r="GT58" s="11">
        <f t="shared" si="117"/>
        <v>1973763</v>
      </c>
      <c r="GU58" s="90">
        <v>459254</v>
      </c>
      <c r="GV58" s="90">
        <f>1641033-126524</f>
        <v>1514509</v>
      </c>
      <c r="GW58" s="10">
        <f t="shared" si="115"/>
        <v>-48359.242989043705</v>
      </c>
      <c r="GX58" s="502">
        <f t="shared" ref="GX58:GX77" si="148">GS58/AD58</f>
        <v>67404.074766301463</v>
      </c>
      <c r="GY58" s="96"/>
      <c r="GZ58" s="96">
        <v>700000</v>
      </c>
      <c r="HA58" s="11">
        <v>700000</v>
      </c>
      <c r="HB58" s="96"/>
      <c r="HC58" s="502">
        <f t="shared" ref="HC58:HC99" si="149">GZ58/GE58</f>
        <v>0.18402750403830842</v>
      </c>
      <c r="HD58" s="426"/>
      <c r="HE58" s="70"/>
      <c r="HF58" s="24">
        <f t="shared" si="139"/>
        <v>0</v>
      </c>
      <c r="HG58" s="23">
        <f t="shared" ref="HG58:HG77" si="150">GZ58/AD58</f>
        <v>23333.333333333332</v>
      </c>
      <c r="HH58" s="84">
        <f t="shared" ref="HH58:HH77" si="151">(GO58+GZ58)/AD58</f>
        <v>59388.566666666666</v>
      </c>
      <c r="HI58" s="24">
        <f t="shared" si="118"/>
        <v>0</v>
      </c>
      <c r="HJ58" s="93"/>
      <c r="HK58" s="93"/>
      <c r="HL58" s="40"/>
      <c r="HM58" s="40"/>
      <c r="HN58" s="23">
        <f t="shared" si="137"/>
        <v>59388.566666666666</v>
      </c>
      <c r="HO58" s="40"/>
      <c r="HP58" s="23">
        <f t="shared" si="108"/>
        <v>62720.800000000003</v>
      </c>
      <c r="HQ58" s="53">
        <f t="shared" si="138"/>
        <v>0.46839127251768636</v>
      </c>
      <c r="HR58" s="40"/>
      <c r="HS58" s="40"/>
      <c r="HT58" s="11"/>
      <c r="HU58" s="42">
        <f>GE58+HL58</f>
        <v>3803779.2429890437</v>
      </c>
      <c r="HV58" s="296">
        <v>178239</v>
      </c>
      <c r="HW58" s="296">
        <f t="shared" si="99"/>
        <v>124768</v>
      </c>
      <c r="HX58" s="252"/>
      <c r="HY58" s="360"/>
      <c r="HZ58" s="360"/>
      <c r="IA58" s="357"/>
      <c r="IB58" s="357"/>
      <c r="IC58" s="360"/>
      <c r="ID58" s="357">
        <v>42829</v>
      </c>
      <c r="IE58" s="361">
        <v>43954</v>
      </c>
      <c r="IF58" s="357"/>
      <c r="IG58" s="361"/>
      <c r="IH58" s="312"/>
      <c r="II58" s="362"/>
      <c r="IJ58" s="358"/>
      <c r="IK58" s="358"/>
      <c r="IL58" s="128">
        <v>43074</v>
      </c>
      <c r="IM58" s="342">
        <v>54078</v>
      </c>
      <c r="IN58" s="128">
        <v>43092</v>
      </c>
      <c r="IO58" s="342">
        <v>17824</v>
      </c>
      <c r="IP58" s="128">
        <v>43153</v>
      </c>
      <c r="IQ58" s="342">
        <v>8912</v>
      </c>
      <c r="IR58" s="326"/>
      <c r="IS58" s="326"/>
      <c r="IT58" s="289"/>
      <c r="IU58" s="289"/>
      <c r="IV58" s="289"/>
      <c r="IW58" s="289"/>
      <c r="IX58" s="289"/>
      <c r="IY58" s="289"/>
      <c r="IZ58" s="356">
        <v>43954</v>
      </c>
      <c r="JA58" s="485"/>
      <c r="JB58" s="120"/>
      <c r="JC58" s="485"/>
      <c r="JD58" s="485"/>
      <c r="JE58" s="120"/>
    </row>
    <row r="59" spans="1:265" ht="24.95" customHeight="1">
      <c r="A59" s="89" t="s">
        <v>453</v>
      </c>
      <c r="B59" s="56" t="s">
        <v>35</v>
      </c>
      <c r="C59" s="56" t="s">
        <v>117</v>
      </c>
      <c r="D59" s="56">
        <v>2017</v>
      </c>
      <c r="E59" s="56" t="s">
        <v>459</v>
      </c>
      <c r="F59" s="56" t="s">
        <v>424</v>
      </c>
      <c r="G59" s="56" t="s">
        <v>297</v>
      </c>
      <c r="H59" s="56" t="s">
        <v>185</v>
      </c>
      <c r="I59" s="56"/>
      <c r="J59" s="56" t="s">
        <v>454</v>
      </c>
      <c r="K59" s="275" t="s">
        <v>714</v>
      </c>
      <c r="L59" s="178"/>
      <c r="M59" s="179"/>
      <c r="N59" s="180"/>
      <c r="O59" s="219">
        <v>1976</v>
      </c>
      <c r="P59" s="219">
        <v>300000</v>
      </c>
      <c r="Q59" s="219"/>
      <c r="R59" s="219">
        <f t="shared" si="119"/>
        <v>12500</v>
      </c>
      <c r="S59" s="219">
        <f t="shared" si="66"/>
        <v>151.82186234817814</v>
      </c>
      <c r="T59" s="225">
        <f t="shared" si="67"/>
        <v>0</v>
      </c>
      <c r="U59" s="225">
        <f t="shared" si="69"/>
        <v>0</v>
      </c>
      <c r="V59" s="225">
        <f t="shared" si="70"/>
        <v>0</v>
      </c>
      <c r="W59" s="219">
        <f t="shared" si="71"/>
        <v>82.333333333333329</v>
      </c>
      <c r="X59" s="220"/>
      <c r="Y59" s="221">
        <f t="shared" si="72"/>
        <v>0.90862348178137653</v>
      </c>
      <c r="Z59" s="220" t="s">
        <v>197</v>
      </c>
      <c r="AA59" s="220">
        <v>590</v>
      </c>
      <c r="AB59" s="221"/>
      <c r="AC59" s="56" t="s">
        <v>16</v>
      </c>
      <c r="AD59" s="345">
        <f t="shared" si="75"/>
        <v>24</v>
      </c>
      <c r="AE59" s="67"/>
      <c r="AF59" s="56">
        <v>24</v>
      </c>
      <c r="AG59" s="56"/>
      <c r="AH59" s="7"/>
      <c r="AI59" s="60">
        <v>1779.08</v>
      </c>
      <c r="AJ59" s="239">
        <v>1795.44</v>
      </c>
      <c r="AK59" s="60">
        <f>AJ59/AD59</f>
        <v>74.81</v>
      </c>
      <c r="AL59" s="81">
        <f>3/AF59</f>
        <v>0.125</v>
      </c>
      <c r="AM59" s="81">
        <f>9/AF59</f>
        <v>0.375</v>
      </c>
      <c r="AN59" s="81">
        <f>6/AF59</f>
        <v>0.25</v>
      </c>
      <c r="AO59" s="81">
        <f>3/AF59</f>
        <v>0.125</v>
      </c>
      <c r="AP59" s="81">
        <f>3/AF59</f>
        <v>0.125</v>
      </c>
      <c r="AQ59" s="60"/>
      <c r="AR59" s="194"/>
      <c r="AS59" s="112"/>
      <c r="AT59" s="60">
        <v>4</v>
      </c>
      <c r="AU59" s="59" t="s">
        <v>621</v>
      </c>
      <c r="AV59" s="56" t="s">
        <v>125</v>
      </c>
      <c r="AW59" s="252">
        <v>42761</v>
      </c>
      <c r="AX59" s="56"/>
      <c r="AY59" s="115"/>
      <c r="AZ59" s="115"/>
      <c r="BA59" s="100"/>
      <c r="BB59" s="216">
        <v>42916</v>
      </c>
      <c r="BC59" s="102">
        <v>43010</v>
      </c>
      <c r="BD59" s="102"/>
      <c r="BE59" s="216"/>
      <c r="BF59" s="102"/>
      <c r="BG59" s="172"/>
      <c r="BH59" s="215"/>
      <c r="BI59" s="172"/>
      <c r="BJ59" s="172"/>
      <c r="BK59" s="103"/>
      <c r="BL59" s="200">
        <f t="shared" si="130"/>
        <v>731</v>
      </c>
      <c r="BM59" s="200">
        <f t="shared" si="131"/>
        <v>1096</v>
      </c>
      <c r="BN59" s="200"/>
      <c r="BO59" s="171"/>
      <c r="BP59" s="177"/>
      <c r="BQ59" s="103"/>
      <c r="BR59" s="104"/>
      <c r="BS59" s="104"/>
      <c r="BT59" s="104"/>
      <c r="BU59" s="170"/>
      <c r="BV59" s="174"/>
      <c r="BW59" s="268"/>
      <c r="BX59" s="169"/>
      <c r="BY59" s="174"/>
      <c r="BZ59" s="268"/>
      <c r="CA59" s="268"/>
      <c r="CB59" s="268" t="s">
        <v>177</v>
      </c>
      <c r="CC59" s="682"/>
      <c r="CD59" s="509"/>
      <c r="CE59" s="384">
        <v>43362</v>
      </c>
      <c r="CF59" s="377"/>
      <c r="CG59" s="494">
        <f t="shared" si="76"/>
        <v>14.866666666666667</v>
      </c>
      <c r="CH59" s="262">
        <v>14</v>
      </c>
      <c r="CI59" s="262">
        <f t="shared" si="100"/>
        <v>15</v>
      </c>
      <c r="CJ59" s="257">
        <f t="shared" si="77"/>
        <v>14</v>
      </c>
      <c r="CK59" s="257">
        <f t="shared" si="78"/>
        <v>15</v>
      </c>
      <c r="CL59" s="257">
        <f t="shared" si="79"/>
        <v>0</v>
      </c>
      <c r="CM59" s="257">
        <f t="shared" si="80"/>
        <v>0</v>
      </c>
      <c r="CN59" s="263"/>
      <c r="CO59" s="263">
        <f t="shared" si="104"/>
        <v>0</v>
      </c>
      <c r="CP59" s="258"/>
      <c r="CQ59" s="699">
        <f t="shared" si="81"/>
        <v>43788</v>
      </c>
      <c r="CR59" s="391">
        <f t="shared" si="140"/>
        <v>43788</v>
      </c>
      <c r="CS59" s="388">
        <f t="shared" si="114"/>
        <v>731</v>
      </c>
      <c r="CT59" s="258"/>
      <c r="CU59" s="258"/>
      <c r="CV59" s="650">
        <f t="shared" si="132"/>
        <v>43818</v>
      </c>
      <c r="CW59" s="506">
        <f t="shared" ref="CW59:CW67" si="152">CV59</f>
        <v>43818</v>
      </c>
      <c r="CX59" s="654"/>
      <c r="CY59" s="123"/>
      <c r="CZ59" s="127"/>
      <c r="DA59" s="127"/>
      <c r="DB59" s="127"/>
      <c r="DC59" s="127"/>
      <c r="DD59" s="127"/>
      <c r="DE59" s="56"/>
      <c r="DF59" s="56"/>
      <c r="DG59" s="56"/>
      <c r="DH59" s="56"/>
      <c r="DI59" s="56"/>
      <c r="DJ59" s="56"/>
      <c r="DK59" s="56"/>
      <c r="DL59" s="56"/>
      <c r="DM59" s="56"/>
      <c r="DN59" s="56"/>
      <c r="DO59" s="56"/>
      <c r="DP59" s="56"/>
      <c r="DQ59" s="56"/>
      <c r="DR59" s="56"/>
      <c r="DS59" s="343">
        <v>42583</v>
      </c>
      <c r="DT59" s="128">
        <v>42598</v>
      </c>
      <c r="DU59" s="128">
        <v>42583</v>
      </c>
      <c r="DV59" s="589">
        <f t="shared" si="82"/>
        <v>-15</v>
      </c>
      <c r="DW59" s="128">
        <v>42692</v>
      </c>
      <c r="DX59" s="343">
        <v>42695</v>
      </c>
      <c r="DY59" s="589">
        <f t="shared" si="83"/>
        <v>3</v>
      </c>
      <c r="DZ59" s="343">
        <v>42753</v>
      </c>
      <c r="EA59" s="343">
        <v>42751</v>
      </c>
      <c r="EB59" s="589">
        <f t="shared" si="84"/>
        <v>-2</v>
      </c>
      <c r="EC59" s="128">
        <v>42829</v>
      </c>
      <c r="ED59" s="343">
        <v>43083</v>
      </c>
      <c r="EE59" s="589">
        <f t="shared" si="85"/>
        <v>254</v>
      </c>
      <c r="EF59" s="613">
        <v>42905</v>
      </c>
      <c r="EG59" s="613">
        <f t="shared" ref="EG59:EG66" ca="1" si="153">IF(EF59&lt;TODAY(),TODAY(),EF59)</f>
        <v>43163</v>
      </c>
      <c r="EH59" s="615">
        <f t="shared" ca="1" si="86"/>
        <v>258</v>
      </c>
      <c r="EI59" s="618"/>
      <c r="EJ59" s="605">
        <v>43154</v>
      </c>
      <c r="EK59" s="600">
        <f t="shared" ref="EK59:EK67" ca="1" si="154">IF(EJ59&lt;TODAY(),TODAY(),EJ59)</f>
        <v>43163</v>
      </c>
      <c r="EL59" s="596">
        <f t="shared" ca="1" si="87"/>
        <v>9</v>
      </c>
      <c r="EM59" s="605">
        <v>43167</v>
      </c>
      <c r="EN59" s="600">
        <f t="shared" ref="EN59:EN67" ca="1" si="155">IF(EM59&lt;TODAY(),TODAY(),EM59)</f>
        <v>43167</v>
      </c>
      <c r="EO59" s="596">
        <f t="shared" ca="1" si="88"/>
        <v>0</v>
      </c>
      <c r="EP59" s="594"/>
      <c r="EQ59" s="600">
        <f t="shared" ca="1" si="134"/>
        <v>43163</v>
      </c>
      <c r="ER59" s="596" t="str">
        <f t="shared" ca="1" si="89"/>
        <v>0</v>
      </c>
      <c r="ES59" s="594"/>
      <c r="ET59" s="622">
        <f t="shared" ca="1" si="135"/>
        <v>43163</v>
      </c>
      <c r="EU59" s="597" t="str">
        <f t="shared" ca="1" si="90"/>
        <v>0</v>
      </c>
      <c r="EV59" s="600"/>
      <c r="EW59" s="600">
        <f t="shared" ca="1" si="136"/>
        <v>43163</v>
      </c>
      <c r="EX59" s="596" t="str">
        <f t="shared" ca="1" si="91"/>
        <v>0</v>
      </c>
      <c r="EY59" s="600"/>
      <c r="EZ59" s="600">
        <f t="shared" ca="1" si="123"/>
        <v>43163</v>
      </c>
      <c r="FA59" s="596" t="str">
        <f t="shared" ca="1" si="92"/>
        <v>0</v>
      </c>
      <c r="FB59" s="600"/>
      <c r="FC59" s="600">
        <f t="shared" ca="1" si="141"/>
        <v>43163</v>
      </c>
      <c r="FD59" s="596" t="str">
        <f t="shared" ca="1" si="93"/>
        <v>0</v>
      </c>
      <c r="FE59" s="600"/>
      <c r="FF59" s="600">
        <f t="shared" ca="1" si="142"/>
        <v>43163</v>
      </c>
      <c r="FG59" s="596" t="str">
        <f t="shared" ca="1" si="94"/>
        <v>0</v>
      </c>
      <c r="FH59" s="600"/>
      <c r="FI59" s="600">
        <f t="shared" ca="1" si="143"/>
        <v>43163</v>
      </c>
      <c r="FJ59" s="596" t="str">
        <f t="shared" ca="1" si="95"/>
        <v>0</v>
      </c>
      <c r="FK59" s="600"/>
      <c r="FL59" s="600"/>
      <c r="FM59" s="600"/>
      <c r="FN59" s="600">
        <v>43840</v>
      </c>
      <c r="FO59" s="600">
        <f t="shared" si="111"/>
        <v>43788</v>
      </c>
      <c r="FP59" s="598">
        <f t="shared" ca="1" si="144"/>
        <v>22.433333333333334</v>
      </c>
      <c r="FQ59" s="600">
        <v>43872</v>
      </c>
      <c r="FR59" s="600">
        <f t="shared" si="112"/>
        <v>43818</v>
      </c>
      <c r="FS59" s="627">
        <v>0</v>
      </c>
      <c r="FT59" s="627">
        <v>0</v>
      </c>
      <c r="FU59" s="627"/>
      <c r="FV59" s="627"/>
      <c r="FW59" s="628">
        <f t="shared" ca="1" si="96"/>
        <v>16.899999999999999</v>
      </c>
      <c r="FX59" s="628">
        <f t="shared" si="120"/>
        <v>-1.8</v>
      </c>
      <c r="FY59" s="624"/>
      <c r="FZ59" s="641"/>
      <c r="GA59" s="641" t="s">
        <v>883</v>
      </c>
      <c r="GB59" s="624"/>
      <c r="GC59" s="118"/>
      <c r="GD59" s="118"/>
      <c r="GE59" s="96">
        <f>+GO59+GS59+GZ59+HT59+HE59</f>
        <v>3866130.6767742028</v>
      </c>
      <c r="GF59" s="70">
        <f t="shared" si="105"/>
        <v>3923899</v>
      </c>
      <c r="GG59" s="12">
        <f t="shared" si="116"/>
        <v>57768.323225797154</v>
      </c>
      <c r="GH59" s="23">
        <f t="shared" si="145"/>
        <v>2173.106705024059</v>
      </c>
      <c r="GI59" s="23">
        <f t="shared" si="146"/>
        <v>161088.77819892511</v>
      </c>
      <c r="GJ59" s="96">
        <v>3537549.5398594467</v>
      </c>
      <c r="GK59" s="70">
        <v>3653732</v>
      </c>
      <c r="GL59" s="97">
        <f t="shared" si="97"/>
        <v>116182.4601405533</v>
      </c>
      <c r="GM59" s="138">
        <f t="shared" si="101"/>
        <v>0.9507024446857576</v>
      </c>
      <c r="GN59" s="138">
        <v>0.4</v>
      </c>
      <c r="GO59" s="96">
        <v>1224437.8025662941</v>
      </c>
      <c r="GP59" s="11">
        <v>1260005</v>
      </c>
      <c r="GQ59" s="52">
        <f t="shared" si="147"/>
        <v>51018.24177359559</v>
      </c>
      <c r="GR59" s="98"/>
      <c r="GS59" s="750">
        <v>2131692.8742079088</v>
      </c>
      <c r="GT59" s="11">
        <f t="shared" si="117"/>
        <v>2153894</v>
      </c>
      <c r="GU59" s="90">
        <v>422282</v>
      </c>
      <c r="GV59" s="90">
        <v>1731612</v>
      </c>
      <c r="GW59" s="98">
        <f t="shared" si="115"/>
        <v>22201.125792091247</v>
      </c>
      <c r="GX59" s="52">
        <f t="shared" si="148"/>
        <v>88820.536425329527</v>
      </c>
      <c r="GY59" s="70"/>
      <c r="GZ59" s="96">
        <v>480000</v>
      </c>
      <c r="HA59" s="11">
        <v>480000</v>
      </c>
      <c r="HB59" s="70"/>
      <c r="HC59" s="91">
        <f t="shared" si="149"/>
        <v>0.12415514118123376</v>
      </c>
      <c r="HD59" s="433"/>
      <c r="HE59" s="70">
        <v>30000</v>
      </c>
      <c r="HF59" s="92">
        <f t="shared" si="139"/>
        <v>0</v>
      </c>
      <c r="HG59" s="23">
        <f t="shared" si="150"/>
        <v>20000</v>
      </c>
      <c r="HH59" s="84">
        <f t="shared" si="151"/>
        <v>71018.241773595582</v>
      </c>
      <c r="HI59" s="92">
        <f t="shared" si="118"/>
        <v>0</v>
      </c>
      <c r="HJ59" s="93">
        <v>5.38</v>
      </c>
      <c r="HK59" s="93">
        <v>5.38</v>
      </c>
      <c r="HL59" s="94"/>
      <c r="HM59" s="94"/>
      <c r="HN59" s="52">
        <f t="shared" si="137"/>
        <v>71018.241773595582</v>
      </c>
      <c r="HO59" s="94"/>
      <c r="HP59" s="52">
        <f t="shared" si="108"/>
        <v>72500.208333333328</v>
      </c>
      <c r="HQ59" s="53">
        <f t="shared" si="138"/>
        <v>0.44086399169218771</v>
      </c>
      <c r="HR59" s="94"/>
      <c r="HS59" s="94"/>
      <c r="HT59" s="70"/>
      <c r="HU59" s="42">
        <f>GE59+HL59</f>
        <v>3866130.6767742028</v>
      </c>
      <c r="HV59" s="296">
        <v>193785</v>
      </c>
      <c r="HW59" s="296">
        <f t="shared" si="99"/>
        <v>77513</v>
      </c>
      <c r="HX59" s="119">
        <v>42562</v>
      </c>
      <c r="HY59" s="342">
        <v>19202</v>
      </c>
      <c r="HZ59" s="342"/>
      <c r="IA59" s="344"/>
      <c r="IB59" s="344" t="s">
        <v>594</v>
      </c>
      <c r="IC59" s="342">
        <v>9745</v>
      </c>
      <c r="ID59" s="344">
        <v>42696</v>
      </c>
      <c r="IE59" s="245">
        <v>18750</v>
      </c>
      <c r="IF59" s="119">
        <v>42837</v>
      </c>
      <c r="IG59" s="245">
        <v>29816</v>
      </c>
      <c r="IH59" s="120"/>
      <c r="II59" s="350">
        <v>0</v>
      </c>
      <c r="IJ59" s="341"/>
      <c r="IK59" s="341"/>
      <c r="IL59" s="295"/>
      <c r="IM59" s="296"/>
      <c r="IN59" s="295"/>
      <c r="IO59" s="296"/>
      <c r="IP59" s="326"/>
      <c r="IQ59" s="326"/>
      <c r="IR59" s="326"/>
      <c r="IS59" s="326"/>
      <c r="IT59" s="289"/>
      <c r="IU59" s="289"/>
      <c r="IV59" s="289"/>
      <c r="IW59" s="289"/>
      <c r="IX59" s="289"/>
      <c r="IY59" s="289"/>
      <c r="IZ59" s="342">
        <v>18750</v>
      </c>
      <c r="JA59" s="128"/>
      <c r="JB59" s="120"/>
      <c r="JC59" s="128"/>
      <c r="JD59" s="128"/>
      <c r="JE59" s="120"/>
    </row>
    <row r="60" spans="1:265" ht="24.95" customHeight="1">
      <c r="A60" s="89" t="s">
        <v>580</v>
      </c>
      <c r="B60" s="56" t="s">
        <v>34</v>
      </c>
      <c r="C60" s="56" t="s">
        <v>118</v>
      </c>
      <c r="D60" s="56">
        <v>2017</v>
      </c>
      <c r="E60" s="56" t="s">
        <v>457</v>
      </c>
      <c r="F60" s="56" t="s">
        <v>419</v>
      </c>
      <c r="G60" s="56" t="s">
        <v>190</v>
      </c>
      <c r="H60" s="58" t="s">
        <v>185</v>
      </c>
      <c r="I60" s="56"/>
      <c r="J60" s="56" t="s">
        <v>479</v>
      </c>
      <c r="K60" s="275" t="s">
        <v>685</v>
      </c>
      <c r="L60" s="178"/>
      <c r="M60" s="179"/>
      <c r="N60" s="180"/>
      <c r="O60" s="219">
        <v>11037</v>
      </c>
      <c r="P60" s="219">
        <v>705655.44208162103</v>
      </c>
      <c r="Q60" s="219"/>
      <c r="R60" s="219">
        <f t="shared" si="119"/>
        <v>8400.6600247812021</v>
      </c>
      <c r="S60" s="219">
        <f t="shared" si="66"/>
        <v>63.935439166587031</v>
      </c>
      <c r="T60" s="225">
        <f t="shared" si="67"/>
        <v>0</v>
      </c>
      <c r="U60" s="225">
        <f t="shared" si="69"/>
        <v>0</v>
      </c>
      <c r="V60" s="225">
        <f t="shared" si="70"/>
        <v>0</v>
      </c>
      <c r="W60" s="219">
        <f t="shared" si="71"/>
        <v>131.39285714285714</v>
      </c>
      <c r="X60" s="220"/>
      <c r="Y60" s="221">
        <f t="shared" si="72"/>
        <v>0.58915284950620639</v>
      </c>
      <c r="Z60" s="220"/>
      <c r="AA60" s="220"/>
      <c r="AB60" s="221"/>
      <c r="AC60" s="56" t="s">
        <v>16</v>
      </c>
      <c r="AD60" s="345">
        <f t="shared" si="75"/>
        <v>84</v>
      </c>
      <c r="AE60" s="67"/>
      <c r="AF60" s="56">
        <v>84</v>
      </c>
      <c r="AG60" s="56"/>
      <c r="AH60" s="7"/>
      <c r="AI60" s="60">
        <v>6502.48</v>
      </c>
      <c r="AJ60" s="466">
        <v>6502.48</v>
      </c>
      <c r="AK60" s="60">
        <f>AJ60/AD60</f>
        <v>77.410476190476189</v>
      </c>
      <c r="AL60" s="81"/>
      <c r="AM60" s="81"/>
      <c r="AN60" s="81"/>
      <c r="AO60" s="81"/>
      <c r="AP60" s="81"/>
      <c r="AQ60" s="60"/>
      <c r="AR60" s="194"/>
      <c r="AS60" s="112"/>
      <c r="AT60" s="60"/>
      <c r="AU60" s="59" t="s">
        <v>621</v>
      </c>
      <c r="AV60" s="56" t="s">
        <v>125</v>
      </c>
      <c r="AW60" s="253" t="s">
        <v>577</v>
      </c>
      <c r="AX60" s="196"/>
      <c r="AY60" s="115"/>
      <c r="AZ60" s="115"/>
      <c r="BA60" s="100"/>
      <c r="BB60" s="216">
        <v>42929</v>
      </c>
      <c r="BC60" s="102">
        <v>43010</v>
      </c>
      <c r="BD60" s="102" t="s">
        <v>177</v>
      </c>
      <c r="BE60" s="216" t="s">
        <v>177</v>
      </c>
      <c r="BF60" s="102" t="s">
        <v>177</v>
      </c>
      <c r="BG60" s="172"/>
      <c r="BH60" s="215"/>
      <c r="BI60" s="172"/>
      <c r="BJ60" s="172"/>
      <c r="BK60" s="103"/>
      <c r="BL60" s="200">
        <f t="shared" si="130"/>
        <v>731</v>
      </c>
      <c r="BM60" s="200">
        <f t="shared" si="131"/>
        <v>1096</v>
      </c>
      <c r="BN60" s="200"/>
      <c r="BO60" s="172"/>
      <c r="BP60" s="177"/>
      <c r="BQ60" s="103"/>
      <c r="BR60" s="104"/>
      <c r="BS60" s="104"/>
      <c r="BT60" s="104"/>
      <c r="BU60" s="170"/>
      <c r="BV60" s="174"/>
      <c r="BW60" s="268"/>
      <c r="BX60" s="169"/>
      <c r="BY60" s="174"/>
      <c r="BZ60" s="268"/>
      <c r="CA60" s="268"/>
      <c r="CB60" s="268" t="s">
        <v>177</v>
      </c>
      <c r="CC60" s="682"/>
      <c r="CD60" s="509"/>
      <c r="CE60" s="384">
        <v>43322</v>
      </c>
      <c r="CF60" s="377"/>
      <c r="CG60" s="494">
        <f t="shared" si="76"/>
        <v>13.1</v>
      </c>
      <c r="CH60" s="262">
        <v>22</v>
      </c>
      <c r="CI60" s="262">
        <f t="shared" si="100"/>
        <v>23</v>
      </c>
      <c r="CJ60" s="257">
        <f t="shared" si="77"/>
        <v>22</v>
      </c>
      <c r="CK60" s="257">
        <f t="shared" si="78"/>
        <v>23</v>
      </c>
      <c r="CL60" s="257">
        <f t="shared" si="79"/>
        <v>0</v>
      </c>
      <c r="CM60" s="257">
        <f t="shared" si="80"/>
        <v>0</v>
      </c>
      <c r="CN60" s="263"/>
      <c r="CO60" s="263">
        <f t="shared" si="104"/>
        <v>0</v>
      </c>
      <c r="CP60" s="258"/>
      <c r="CQ60" s="699">
        <f t="shared" si="81"/>
        <v>43992</v>
      </c>
      <c r="CR60" s="391">
        <f t="shared" si="140"/>
        <v>43992</v>
      </c>
      <c r="CS60" s="388">
        <f t="shared" si="114"/>
        <v>731</v>
      </c>
      <c r="CT60" s="258"/>
      <c r="CU60" s="258"/>
      <c r="CV60" s="650">
        <f t="shared" si="132"/>
        <v>44022</v>
      </c>
      <c r="CW60" s="506">
        <f t="shared" si="152"/>
        <v>44022</v>
      </c>
      <c r="CX60" s="654"/>
      <c r="CY60" s="123"/>
      <c r="CZ60" s="127"/>
      <c r="DA60" s="127"/>
      <c r="DB60" s="127"/>
      <c r="DC60" s="127"/>
      <c r="DD60" s="127"/>
      <c r="DE60" s="56"/>
      <c r="DF60" s="56"/>
      <c r="DG60" s="56"/>
      <c r="DH60" s="56"/>
      <c r="DI60" s="56"/>
      <c r="DJ60" s="56"/>
      <c r="DK60" s="56"/>
      <c r="DL60" s="56"/>
      <c r="DM60" s="56"/>
      <c r="DN60" s="56"/>
      <c r="DO60" s="56"/>
      <c r="DP60" s="56"/>
      <c r="DQ60" s="56"/>
      <c r="DR60" s="56"/>
      <c r="DS60" s="343">
        <v>42619</v>
      </c>
      <c r="DT60" s="128">
        <v>42619</v>
      </c>
      <c r="DU60" s="128">
        <v>42619</v>
      </c>
      <c r="DV60" s="589">
        <f t="shared" si="82"/>
        <v>0</v>
      </c>
      <c r="DW60" s="128">
        <v>42793</v>
      </c>
      <c r="DX60" s="128">
        <v>42775</v>
      </c>
      <c r="DY60" s="589">
        <f t="shared" si="83"/>
        <v>-18</v>
      </c>
      <c r="DZ60" s="343">
        <v>42772</v>
      </c>
      <c r="EA60" s="343">
        <v>42794</v>
      </c>
      <c r="EB60" s="589">
        <f t="shared" si="84"/>
        <v>22</v>
      </c>
      <c r="EC60" s="613">
        <v>42835</v>
      </c>
      <c r="ED60" s="613">
        <f ca="1">IF(EC60&lt;TODAY(),TODAY(),EC60)</f>
        <v>43163</v>
      </c>
      <c r="EE60" s="615">
        <f t="shared" ca="1" si="85"/>
        <v>328</v>
      </c>
      <c r="EF60" s="613">
        <v>43143</v>
      </c>
      <c r="EG60" s="613">
        <f t="shared" ca="1" si="153"/>
        <v>43163</v>
      </c>
      <c r="EH60" s="615">
        <f t="shared" ca="1" si="86"/>
        <v>20</v>
      </c>
      <c r="EI60" s="618"/>
      <c r="EJ60" s="605">
        <v>43308</v>
      </c>
      <c r="EK60" s="600">
        <f t="shared" ca="1" si="154"/>
        <v>43308</v>
      </c>
      <c r="EL60" s="596">
        <f t="shared" ca="1" si="87"/>
        <v>0</v>
      </c>
      <c r="EM60" s="605">
        <v>43322</v>
      </c>
      <c r="EN60" s="600">
        <f t="shared" ca="1" si="155"/>
        <v>43322</v>
      </c>
      <c r="EO60" s="596">
        <f t="shared" ca="1" si="88"/>
        <v>0</v>
      </c>
      <c r="EP60" s="594"/>
      <c r="EQ60" s="600">
        <f t="shared" ca="1" si="134"/>
        <v>43163</v>
      </c>
      <c r="ER60" s="596" t="str">
        <f t="shared" ca="1" si="89"/>
        <v>0</v>
      </c>
      <c r="ES60" s="594"/>
      <c r="ET60" s="622">
        <f t="shared" ca="1" si="135"/>
        <v>43163</v>
      </c>
      <c r="EU60" s="597" t="str">
        <f t="shared" ca="1" si="90"/>
        <v>0</v>
      </c>
      <c r="EV60" s="600"/>
      <c r="EW60" s="600">
        <f t="shared" ca="1" si="136"/>
        <v>43163</v>
      </c>
      <c r="EX60" s="596" t="str">
        <f t="shared" ca="1" si="91"/>
        <v>0</v>
      </c>
      <c r="EY60" s="594"/>
      <c r="EZ60" s="600">
        <f t="shared" ca="1" si="123"/>
        <v>43163</v>
      </c>
      <c r="FA60" s="596" t="str">
        <f t="shared" ca="1" si="92"/>
        <v>0</v>
      </c>
      <c r="FB60" s="600"/>
      <c r="FC60" s="600">
        <f t="shared" ca="1" si="141"/>
        <v>43163</v>
      </c>
      <c r="FD60" s="596" t="str">
        <f t="shared" ca="1" si="93"/>
        <v>0</v>
      </c>
      <c r="FE60" s="600"/>
      <c r="FF60" s="600">
        <f t="shared" ca="1" si="142"/>
        <v>43163</v>
      </c>
      <c r="FG60" s="596" t="str">
        <f t="shared" ca="1" si="94"/>
        <v>0</v>
      </c>
      <c r="FH60" s="600"/>
      <c r="FI60" s="600">
        <f t="shared" ca="1" si="143"/>
        <v>43163</v>
      </c>
      <c r="FJ60" s="596" t="str">
        <f t="shared" ca="1" si="95"/>
        <v>0</v>
      </c>
      <c r="FK60" s="600"/>
      <c r="FL60" s="600"/>
      <c r="FM60" s="600"/>
      <c r="FN60" s="600">
        <v>43861</v>
      </c>
      <c r="FO60" s="600">
        <f t="shared" si="111"/>
        <v>43992</v>
      </c>
      <c r="FP60" s="598">
        <f t="shared" ca="1" si="144"/>
        <v>17.966666666666665</v>
      </c>
      <c r="FQ60" s="600">
        <v>43893</v>
      </c>
      <c r="FR60" s="600">
        <f t="shared" si="112"/>
        <v>44022</v>
      </c>
      <c r="FS60" s="627">
        <v>0</v>
      </c>
      <c r="FT60" s="627">
        <v>0</v>
      </c>
      <c r="FU60" s="627"/>
      <c r="FV60" s="627"/>
      <c r="FW60" s="628">
        <f t="shared" ca="1" si="96"/>
        <v>11.733333333333333</v>
      </c>
      <c r="FX60" s="628">
        <f t="shared" si="120"/>
        <v>4.3</v>
      </c>
      <c r="FY60" s="624"/>
      <c r="FZ60" s="641"/>
      <c r="GA60" s="641" t="s">
        <v>835</v>
      </c>
      <c r="GB60" s="624"/>
      <c r="GC60" s="118"/>
      <c r="GD60" s="118"/>
      <c r="GE60" s="96">
        <f>+GO60+GS60+GZ60+HT60+HE60</f>
        <v>12734880</v>
      </c>
      <c r="GF60" s="70">
        <f t="shared" si="105"/>
        <v>12677323</v>
      </c>
      <c r="GG60" s="96">
        <f t="shared" si="116"/>
        <v>-57557</v>
      </c>
      <c r="GH60" s="10">
        <f t="shared" si="145"/>
        <v>1958.465077939494</v>
      </c>
      <c r="GI60" s="502">
        <f t="shared" si="146"/>
        <v>151605.71428571429</v>
      </c>
      <c r="GJ60" s="96">
        <v>14981542.360255377</v>
      </c>
      <c r="GK60" s="96">
        <v>10898468</v>
      </c>
      <c r="GL60" s="96">
        <f t="shared" si="97"/>
        <v>-4083074.3602553774</v>
      </c>
      <c r="GM60" s="96">
        <f t="shared" si="101"/>
        <v>0.87773545156181632</v>
      </c>
      <c r="GN60" s="329">
        <v>0.4</v>
      </c>
      <c r="GO60" s="96">
        <v>3890729</v>
      </c>
      <c r="GP60" s="11">
        <v>3808325</v>
      </c>
      <c r="GQ60" s="96">
        <f t="shared" si="147"/>
        <v>46318.202380952382</v>
      </c>
      <c r="GR60" s="96">
        <f t="shared" ref="GR60:GR68" si="156">GP60-GO60</f>
        <v>-82404</v>
      </c>
      <c r="GS60" s="448">
        <f>6070791+1203804</f>
        <v>7274595</v>
      </c>
      <c r="GT60" s="11">
        <f t="shared" si="117"/>
        <v>7299442</v>
      </c>
      <c r="GU60" s="90">
        <v>1108476</v>
      </c>
      <c r="GV60" s="90">
        <v>6190966</v>
      </c>
      <c r="GW60" s="96">
        <f t="shared" si="115"/>
        <v>24847</v>
      </c>
      <c r="GX60" s="329">
        <f t="shared" si="148"/>
        <v>86602.321428571435</v>
      </c>
      <c r="GY60" s="96"/>
      <c r="GZ60" s="96">
        <v>1512000</v>
      </c>
      <c r="HA60" s="11">
        <v>1512000</v>
      </c>
      <c r="HB60" s="96"/>
      <c r="HC60" s="329">
        <f t="shared" si="149"/>
        <v>0.11872903396027289</v>
      </c>
      <c r="HD60" s="426"/>
      <c r="HE60" s="70">
        <v>57556</v>
      </c>
      <c r="HF60" s="92">
        <f t="shared" si="139"/>
        <v>0</v>
      </c>
      <c r="HG60" s="23">
        <f t="shared" si="150"/>
        <v>18000</v>
      </c>
      <c r="HH60" s="84">
        <f t="shared" si="151"/>
        <v>64318.202380952382</v>
      </c>
      <c r="HI60" s="92">
        <f t="shared" si="118"/>
        <v>0</v>
      </c>
      <c r="HJ60" s="93">
        <v>5.31</v>
      </c>
      <c r="HK60" s="93">
        <v>5.05</v>
      </c>
      <c r="HL60" s="94"/>
      <c r="HM60" s="94"/>
      <c r="HN60" s="52">
        <f t="shared" si="137"/>
        <v>64318.202380952382</v>
      </c>
      <c r="HO60" s="94"/>
      <c r="HP60" s="52">
        <f t="shared" si="108"/>
        <v>63337.202380952382</v>
      </c>
      <c r="HQ60" s="53">
        <f t="shared" si="138"/>
        <v>0.4242465574862111</v>
      </c>
      <c r="HR60" s="94"/>
      <c r="HS60" s="94"/>
      <c r="HT60" s="70"/>
      <c r="HU60" s="42">
        <f>GE60+HL60</f>
        <v>12734880</v>
      </c>
      <c r="HV60" s="296">
        <v>626953</v>
      </c>
      <c r="HW60" s="296">
        <f t="shared" si="99"/>
        <v>219433.3</v>
      </c>
      <c r="HX60" s="119">
        <v>42605</v>
      </c>
      <c r="HY60" s="342">
        <v>110767</v>
      </c>
      <c r="HZ60" s="342"/>
      <c r="IA60" s="344"/>
      <c r="IB60" s="344">
        <v>42716</v>
      </c>
      <c r="IC60" s="245">
        <v>22977</v>
      </c>
      <c r="ID60" s="119">
        <v>42794</v>
      </c>
      <c r="IE60" s="245">
        <v>22994</v>
      </c>
      <c r="IF60" s="119">
        <v>42926</v>
      </c>
      <c r="IG60" s="245">
        <v>62695.3</v>
      </c>
      <c r="IH60" s="120"/>
      <c r="II60" s="350"/>
      <c r="IJ60" s="341"/>
      <c r="IK60" s="341"/>
      <c r="IL60" s="295"/>
      <c r="IM60" s="300"/>
      <c r="IN60" s="295"/>
      <c r="IO60" s="300"/>
      <c r="IP60" s="326"/>
      <c r="IQ60" s="326"/>
      <c r="IR60" s="326"/>
      <c r="IS60" s="326"/>
      <c r="IT60" s="289"/>
      <c r="IU60" s="289"/>
      <c r="IV60" s="289"/>
      <c r="IW60" s="289"/>
      <c r="IX60" s="289"/>
      <c r="IY60" s="289"/>
      <c r="IZ60" s="356">
        <v>22994</v>
      </c>
      <c r="JA60" s="343"/>
      <c r="JB60" s="120"/>
      <c r="JC60" s="343"/>
      <c r="JD60" s="343"/>
      <c r="JE60" s="120"/>
    </row>
    <row r="61" spans="1:265" ht="24.95" customHeight="1">
      <c r="A61" s="89" t="s">
        <v>449</v>
      </c>
      <c r="B61" s="56" t="s">
        <v>35</v>
      </c>
      <c r="C61" s="56" t="s">
        <v>117</v>
      </c>
      <c r="D61" s="56">
        <v>2017</v>
      </c>
      <c r="E61" s="56" t="s">
        <v>458</v>
      </c>
      <c r="F61" s="56" t="s">
        <v>424</v>
      </c>
      <c r="G61" s="7" t="s">
        <v>519</v>
      </c>
      <c r="H61" s="56" t="s">
        <v>185</v>
      </c>
      <c r="I61" s="56"/>
      <c r="J61" s="56" t="s">
        <v>450</v>
      </c>
      <c r="K61" s="275" t="s">
        <v>716</v>
      </c>
      <c r="L61" s="178"/>
      <c r="M61" s="179"/>
      <c r="N61" s="180"/>
      <c r="O61" s="219">
        <v>1953</v>
      </c>
      <c r="P61" s="219">
        <v>452000</v>
      </c>
      <c r="Q61" s="219"/>
      <c r="R61" s="219">
        <f t="shared" si="119"/>
        <v>17384.615384615383</v>
      </c>
      <c r="S61" s="219">
        <f t="shared" si="66"/>
        <v>231.43881208397337</v>
      </c>
      <c r="T61" s="225">
        <f t="shared" si="67"/>
        <v>0</v>
      </c>
      <c r="U61" s="225">
        <f t="shared" si="69"/>
        <v>0</v>
      </c>
      <c r="V61" s="225">
        <f t="shared" si="70"/>
        <v>0</v>
      </c>
      <c r="W61" s="219">
        <f t="shared" si="71"/>
        <v>75.115384615384613</v>
      </c>
      <c r="X61" s="220"/>
      <c r="Y61" s="221">
        <f t="shared" si="72"/>
        <v>0.87758320532514089</v>
      </c>
      <c r="Z61" s="220" t="s">
        <v>197</v>
      </c>
      <c r="AA61" s="220">
        <v>590</v>
      </c>
      <c r="AB61" s="221"/>
      <c r="AC61" s="56" t="s">
        <v>16</v>
      </c>
      <c r="AD61" s="345">
        <f t="shared" si="75"/>
        <v>26</v>
      </c>
      <c r="AE61" s="67"/>
      <c r="AF61" s="56">
        <v>26</v>
      </c>
      <c r="AG61" s="56"/>
      <c r="AH61" s="7"/>
      <c r="AI61" s="60">
        <v>1730.4</v>
      </c>
      <c r="AJ61" s="239">
        <v>1713.92</v>
      </c>
      <c r="AK61" s="60">
        <f>AJ61/AD61</f>
        <v>65.92</v>
      </c>
      <c r="AL61" s="81"/>
      <c r="AM61" s="81">
        <f>26/AD61</f>
        <v>1</v>
      </c>
      <c r="AN61" s="81"/>
      <c r="AO61" s="81"/>
      <c r="AP61" s="81"/>
      <c r="AQ61" s="60"/>
      <c r="AR61" s="194"/>
      <c r="AS61" s="112"/>
      <c r="AT61" s="60">
        <v>4</v>
      </c>
      <c r="AU61" s="59" t="s">
        <v>621</v>
      </c>
      <c r="AV61" s="56" t="s">
        <v>125</v>
      </c>
      <c r="AW61" s="252">
        <v>42691</v>
      </c>
      <c r="AX61" s="56"/>
      <c r="AY61" s="115"/>
      <c r="AZ61" s="115"/>
      <c r="BA61" s="100"/>
      <c r="BB61" s="216">
        <v>42970</v>
      </c>
      <c r="BC61" s="102">
        <v>42999</v>
      </c>
      <c r="BD61" s="102"/>
      <c r="BE61" s="216"/>
      <c r="BF61" s="102"/>
      <c r="BG61" s="172"/>
      <c r="BH61" s="215"/>
      <c r="BI61" s="172"/>
      <c r="BJ61" s="172"/>
      <c r="BK61" s="103"/>
      <c r="BL61" s="200">
        <f t="shared" si="130"/>
        <v>731</v>
      </c>
      <c r="BM61" s="200">
        <f t="shared" si="131"/>
        <v>1096</v>
      </c>
      <c r="BN61" s="200"/>
      <c r="BO61" s="172"/>
      <c r="BP61" s="177"/>
      <c r="BQ61" s="103"/>
      <c r="BR61" s="104"/>
      <c r="BS61" s="104"/>
      <c r="BT61" s="104"/>
      <c r="BU61" s="170"/>
      <c r="BV61" s="174"/>
      <c r="BW61" s="268"/>
      <c r="BX61" s="169"/>
      <c r="BY61" s="174"/>
      <c r="BZ61" s="268"/>
      <c r="CA61" s="268"/>
      <c r="CB61" s="268" t="s">
        <v>177</v>
      </c>
      <c r="CC61" s="682"/>
      <c r="CD61" s="509"/>
      <c r="CE61" s="384">
        <v>43315</v>
      </c>
      <c r="CF61" s="377"/>
      <c r="CG61" s="494">
        <f t="shared" si="76"/>
        <v>11.5</v>
      </c>
      <c r="CH61" s="262">
        <v>16</v>
      </c>
      <c r="CI61" s="262">
        <f t="shared" si="100"/>
        <v>17</v>
      </c>
      <c r="CJ61" s="257">
        <f t="shared" si="77"/>
        <v>16</v>
      </c>
      <c r="CK61" s="257">
        <f t="shared" si="78"/>
        <v>17</v>
      </c>
      <c r="CL61" s="257">
        <f t="shared" si="79"/>
        <v>0</v>
      </c>
      <c r="CM61" s="257">
        <f t="shared" si="80"/>
        <v>0</v>
      </c>
      <c r="CN61" s="263"/>
      <c r="CO61" s="263">
        <f t="shared" si="104"/>
        <v>0</v>
      </c>
      <c r="CP61" s="258"/>
      <c r="CQ61" s="699">
        <f t="shared" si="81"/>
        <v>43802</v>
      </c>
      <c r="CR61" s="391">
        <f t="shared" si="140"/>
        <v>43802</v>
      </c>
      <c r="CS61" s="388">
        <f t="shared" si="114"/>
        <v>731</v>
      </c>
      <c r="CT61" s="258"/>
      <c r="CU61" s="258"/>
      <c r="CV61" s="650">
        <f t="shared" si="132"/>
        <v>43833</v>
      </c>
      <c r="CW61" s="506">
        <f t="shared" si="152"/>
        <v>43833</v>
      </c>
      <c r="CX61" s="654"/>
      <c r="CY61" s="123"/>
      <c r="CZ61" s="127"/>
      <c r="DA61" s="127"/>
      <c r="DB61" s="127"/>
      <c r="DC61" s="127"/>
      <c r="DD61" s="127"/>
      <c r="DE61" s="56"/>
      <c r="DF61" s="56"/>
      <c r="DG61" s="56"/>
      <c r="DH61" s="56"/>
      <c r="DI61" s="56"/>
      <c r="DJ61" s="56"/>
      <c r="DK61" s="56"/>
      <c r="DL61" s="56"/>
      <c r="DM61" s="56"/>
      <c r="DN61" s="56"/>
      <c r="DO61" s="56"/>
      <c r="DP61" s="56"/>
      <c r="DQ61" s="56"/>
      <c r="DR61" s="56"/>
      <c r="DS61" s="343">
        <v>42586</v>
      </c>
      <c r="DT61" s="128">
        <v>42601</v>
      </c>
      <c r="DU61" s="128">
        <v>42586</v>
      </c>
      <c r="DV61" s="589">
        <f t="shared" si="82"/>
        <v>-15</v>
      </c>
      <c r="DW61" s="343">
        <v>42706</v>
      </c>
      <c r="DX61" s="343">
        <v>42704</v>
      </c>
      <c r="DY61" s="589">
        <f t="shared" si="83"/>
        <v>-2</v>
      </c>
      <c r="DZ61" s="343">
        <v>42758</v>
      </c>
      <c r="EA61" s="343">
        <v>42758</v>
      </c>
      <c r="EB61" s="589">
        <f t="shared" si="84"/>
        <v>0</v>
      </c>
      <c r="EC61" s="128">
        <v>42818</v>
      </c>
      <c r="ED61" s="343">
        <v>42837</v>
      </c>
      <c r="EE61" s="589">
        <f t="shared" si="85"/>
        <v>19</v>
      </c>
      <c r="EF61" s="613">
        <v>42895</v>
      </c>
      <c r="EG61" s="613">
        <f t="shared" ca="1" si="153"/>
        <v>43163</v>
      </c>
      <c r="EH61" s="615">
        <f t="shared" ca="1" si="86"/>
        <v>268</v>
      </c>
      <c r="EI61" s="620"/>
      <c r="EJ61" s="605">
        <v>43144</v>
      </c>
      <c r="EK61" s="600">
        <f t="shared" ca="1" si="154"/>
        <v>43163</v>
      </c>
      <c r="EL61" s="596">
        <f t="shared" ca="1" si="87"/>
        <v>19</v>
      </c>
      <c r="EM61" s="605">
        <v>43159</v>
      </c>
      <c r="EN61" s="600">
        <f t="shared" ca="1" si="155"/>
        <v>43163</v>
      </c>
      <c r="EO61" s="596">
        <f t="shared" ca="1" si="88"/>
        <v>4</v>
      </c>
      <c r="EP61" s="594"/>
      <c r="EQ61" s="600">
        <f t="shared" ca="1" si="134"/>
        <v>43163</v>
      </c>
      <c r="ER61" s="596" t="str">
        <f t="shared" ca="1" si="89"/>
        <v>0</v>
      </c>
      <c r="ES61" s="594"/>
      <c r="ET61" s="622">
        <f t="shared" ca="1" si="135"/>
        <v>43163</v>
      </c>
      <c r="EU61" s="597" t="str">
        <f t="shared" ca="1" si="90"/>
        <v>0</v>
      </c>
      <c r="EV61" s="600"/>
      <c r="EW61" s="600">
        <f t="shared" ca="1" si="136"/>
        <v>43163</v>
      </c>
      <c r="EX61" s="596" t="str">
        <f t="shared" ca="1" si="91"/>
        <v>0</v>
      </c>
      <c r="EY61" s="594"/>
      <c r="EZ61" s="600">
        <f t="shared" ca="1" si="123"/>
        <v>43163</v>
      </c>
      <c r="FA61" s="596" t="str">
        <f t="shared" ca="1" si="92"/>
        <v>0</v>
      </c>
      <c r="FB61" s="600"/>
      <c r="FC61" s="600">
        <f t="shared" ca="1" si="141"/>
        <v>43163</v>
      </c>
      <c r="FD61" s="596" t="str">
        <f t="shared" ca="1" si="93"/>
        <v>0</v>
      </c>
      <c r="FE61" s="600"/>
      <c r="FF61" s="600">
        <f t="shared" ca="1" si="142"/>
        <v>43163</v>
      </c>
      <c r="FG61" s="596" t="str">
        <f t="shared" ca="1" si="94"/>
        <v>0</v>
      </c>
      <c r="FH61" s="600"/>
      <c r="FI61" s="600">
        <f t="shared" ca="1" si="143"/>
        <v>43163</v>
      </c>
      <c r="FJ61" s="596" t="str">
        <f t="shared" ca="1" si="95"/>
        <v>0</v>
      </c>
      <c r="FK61" s="600"/>
      <c r="FL61" s="600"/>
      <c r="FM61" s="600"/>
      <c r="FN61" s="600">
        <v>43735</v>
      </c>
      <c r="FO61" s="600">
        <f t="shared" si="111"/>
        <v>43802</v>
      </c>
      <c r="FP61" s="598">
        <f t="shared" ca="1" si="144"/>
        <v>19.066666666666666</v>
      </c>
      <c r="FQ61" s="600">
        <v>43763</v>
      </c>
      <c r="FR61" s="600">
        <f t="shared" si="112"/>
        <v>43833</v>
      </c>
      <c r="FS61" s="627">
        <v>250000</v>
      </c>
      <c r="FT61" s="627">
        <v>250000</v>
      </c>
      <c r="FU61" s="627"/>
      <c r="FV61" s="627"/>
      <c r="FW61" s="628">
        <f t="shared" ca="1" si="96"/>
        <v>9.7666666666666675</v>
      </c>
      <c r="FX61" s="628">
        <f t="shared" si="120"/>
        <v>2.3333333333333335</v>
      </c>
      <c r="FY61" s="624"/>
      <c r="FZ61" s="641"/>
      <c r="GA61" s="641"/>
      <c r="GB61" s="624"/>
      <c r="GC61" s="118"/>
      <c r="GD61" s="118"/>
      <c r="GE61" s="96">
        <f>+GO61+GS61+GZ61+HT61+HE61</f>
        <v>4132412.99</v>
      </c>
      <c r="GF61" s="70">
        <f>GP61+GT61+HA61+HT61+HB61+HE61</f>
        <v>4113382</v>
      </c>
      <c r="GG61" s="12">
        <f t="shared" si="116"/>
        <v>-19030.990000000224</v>
      </c>
      <c r="GH61" s="23">
        <f t="shared" si="145"/>
        <v>2388.1258610725845</v>
      </c>
      <c r="GI61" s="23">
        <f t="shared" si="146"/>
        <v>158938.96115384618</v>
      </c>
      <c r="GJ61" s="96">
        <v>3207102</v>
      </c>
      <c r="GK61" s="70">
        <v>3765886</v>
      </c>
      <c r="GL61" s="97">
        <f t="shared" si="97"/>
        <v>558784</v>
      </c>
      <c r="GM61" s="138">
        <f t="shared" si="101"/>
        <v>0.9347465433553217</v>
      </c>
      <c r="GN61" s="139">
        <v>0.4</v>
      </c>
      <c r="GO61" s="96">
        <v>1296385.9099999999</v>
      </c>
      <c r="GP61" s="11">
        <v>1301816</v>
      </c>
      <c r="GQ61" s="52">
        <f t="shared" si="147"/>
        <v>49860.996538461535</v>
      </c>
      <c r="GR61" s="98">
        <f t="shared" si="156"/>
        <v>5430.0900000000838</v>
      </c>
      <c r="GS61" s="750">
        <v>2030427.08</v>
      </c>
      <c r="GT61" s="11">
        <f t="shared" si="117"/>
        <v>2005966</v>
      </c>
      <c r="GU61" s="90">
        <v>482453</v>
      </c>
      <c r="GV61" s="90">
        <v>1523513</v>
      </c>
      <c r="GW61" s="98">
        <f t="shared" si="115"/>
        <v>-24461.080000000075</v>
      </c>
      <c r="GX61" s="52">
        <f t="shared" si="148"/>
        <v>78093.349230769236</v>
      </c>
      <c r="GY61" s="70"/>
      <c r="GZ61" s="96">
        <v>520000</v>
      </c>
      <c r="HA61" s="11">
        <v>520000</v>
      </c>
      <c r="HB61" s="70"/>
      <c r="HC61" s="91">
        <f t="shared" si="149"/>
        <v>0.12583447038288398</v>
      </c>
      <c r="HD61" s="433"/>
      <c r="HE61" s="70">
        <v>35600</v>
      </c>
      <c r="HF61" s="92">
        <f t="shared" si="139"/>
        <v>0</v>
      </c>
      <c r="HG61" s="23">
        <f t="shared" si="150"/>
        <v>20000</v>
      </c>
      <c r="HH61" s="84">
        <f t="shared" si="151"/>
        <v>69860.996538461535</v>
      </c>
      <c r="HI61" s="92">
        <f t="shared" si="118"/>
        <v>0</v>
      </c>
      <c r="HJ61" s="93">
        <v>5.56</v>
      </c>
      <c r="HK61" s="93">
        <v>5.55</v>
      </c>
      <c r="HL61" s="94"/>
      <c r="HM61" s="94"/>
      <c r="HN61" s="52">
        <f t="shared" si="137"/>
        <v>69860.996538461535</v>
      </c>
      <c r="HO61" s="94"/>
      <c r="HP61" s="52">
        <f t="shared" si="108"/>
        <v>70069.846153846156</v>
      </c>
      <c r="HQ61" s="53">
        <f t="shared" si="138"/>
        <v>0.43954607499188986</v>
      </c>
      <c r="HR61" s="94"/>
      <c r="HS61" s="94"/>
      <c r="HT61" s="70">
        <v>250000</v>
      </c>
      <c r="HU61" s="42">
        <f>GF61+HL61</f>
        <v>4113382</v>
      </c>
      <c r="HV61" s="296">
        <v>221723</v>
      </c>
      <c r="HW61" s="296">
        <f t="shared" si="99"/>
        <v>110862</v>
      </c>
      <c r="HX61" s="119">
        <v>42562</v>
      </c>
      <c r="HY61" s="342">
        <v>23880</v>
      </c>
      <c r="HZ61" s="342"/>
      <c r="IA61" s="344"/>
      <c r="IB61" s="344" t="s">
        <v>594</v>
      </c>
      <c r="IC61" s="342">
        <v>15414</v>
      </c>
      <c r="ID61" s="344">
        <v>42697</v>
      </c>
      <c r="IE61" s="245">
        <v>17422</v>
      </c>
      <c r="IF61" s="344">
        <v>42877</v>
      </c>
      <c r="IG61" s="245">
        <v>20757</v>
      </c>
      <c r="IH61" s="120">
        <v>43075</v>
      </c>
      <c r="II61" s="350">
        <v>33389</v>
      </c>
      <c r="IJ61" s="341"/>
      <c r="IK61" s="341"/>
      <c r="IL61" s="295"/>
      <c r="IM61" s="300"/>
      <c r="IN61" s="295"/>
      <c r="IO61" s="300"/>
      <c r="IP61" s="326"/>
      <c r="IQ61" s="326"/>
      <c r="IR61" s="326"/>
      <c r="IS61" s="326"/>
      <c r="IT61" s="289"/>
      <c r="IU61" s="289"/>
      <c r="IV61" s="289"/>
      <c r="IW61" s="289"/>
      <c r="IX61" s="289"/>
      <c r="IY61" s="289"/>
      <c r="IZ61" s="342">
        <f>14653+2769</f>
        <v>17422</v>
      </c>
      <c r="JA61" s="343"/>
      <c r="JB61" s="120"/>
      <c r="JC61" s="343"/>
      <c r="JD61" s="343"/>
      <c r="JE61" s="120"/>
    </row>
    <row r="62" spans="1:265" ht="24.95" customHeight="1">
      <c r="A62" s="101" t="s">
        <v>572</v>
      </c>
      <c r="B62" s="56" t="s">
        <v>28</v>
      </c>
      <c r="C62" s="56" t="s">
        <v>117</v>
      </c>
      <c r="D62" s="57">
        <v>2017</v>
      </c>
      <c r="E62" s="56"/>
      <c r="F62" s="57" t="s">
        <v>58</v>
      </c>
      <c r="G62" s="738"/>
      <c r="H62" s="57" t="s">
        <v>264</v>
      </c>
      <c r="I62" s="57"/>
      <c r="J62" s="56" t="s">
        <v>485</v>
      </c>
      <c r="K62" s="275"/>
      <c r="L62" s="178"/>
      <c r="M62" s="179"/>
      <c r="N62" s="180"/>
      <c r="O62" s="225">
        <v>10895</v>
      </c>
      <c r="P62" s="225">
        <v>949780</v>
      </c>
      <c r="Q62" s="231">
        <f>P62</f>
        <v>949780</v>
      </c>
      <c r="R62" s="219">
        <f t="shared" si="119"/>
        <v>25669.72972972973</v>
      </c>
      <c r="S62" s="225">
        <f t="shared" si="66"/>
        <v>87.175768701239107</v>
      </c>
      <c r="T62" s="231">
        <f t="shared" si="67"/>
        <v>87.175768701239107</v>
      </c>
      <c r="U62" s="231">
        <f t="shared" si="69"/>
        <v>296.99372729035201</v>
      </c>
      <c r="V62" s="231">
        <f t="shared" si="70"/>
        <v>25669.72972972973</v>
      </c>
      <c r="W62" s="219">
        <f t="shared" si="71"/>
        <v>294.45945945945948</v>
      </c>
      <c r="X62" s="229"/>
      <c r="Y62" s="230">
        <f t="shared" si="72"/>
        <v>0.2935273061037173</v>
      </c>
      <c r="Z62" s="229"/>
      <c r="AA62" s="232">
        <v>650</v>
      </c>
      <c r="AB62" s="228"/>
      <c r="AC62" s="57" t="s">
        <v>16</v>
      </c>
      <c r="AD62" s="345">
        <f t="shared" si="75"/>
        <v>37</v>
      </c>
      <c r="AE62" s="67"/>
      <c r="AF62" s="56">
        <v>37</v>
      </c>
      <c r="AG62" s="56"/>
      <c r="AH62" s="7"/>
      <c r="AI62" s="61">
        <v>3196.53</v>
      </c>
      <c r="AJ62" s="466">
        <v>3197.98</v>
      </c>
      <c r="AK62" s="9">
        <f>AJ62/AD62</f>
        <v>86.431891891891894</v>
      </c>
      <c r="AL62" s="63"/>
      <c r="AM62" s="63"/>
      <c r="AN62" s="63"/>
      <c r="AO62" s="63"/>
      <c r="AP62" s="63"/>
      <c r="AQ62" s="61"/>
      <c r="AR62" s="80"/>
      <c r="AS62" s="82"/>
      <c r="AT62" s="61"/>
      <c r="AU62" s="57" t="s">
        <v>620</v>
      </c>
      <c r="AV62" s="57"/>
      <c r="AW62" s="202">
        <v>42761</v>
      </c>
      <c r="AX62" s="202">
        <v>42761</v>
      </c>
      <c r="AY62" s="115"/>
      <c r="AZ62" s="115"/>
      <c r="BA62" s="306"/>
      <c r="BB62" s="216">
        <v>42998</v>
      </c>
      <c r="BC62" s="102"/>
      <c r="BD62" s="102"/>
      <c r="BE62" s="216"/>
      <c r="BF62" s="102"/>
      <c r="BG62" s="172"/>
      <c r="BH62" s="215"/>
      <c r="BI62" s="172"/>
      <c r="BJ62" s="172"/>
      <c r="BK62" s="103"/>
      <c r="BL62" s="200">
        <f t="shared" si="130"/>
        <v>731</v>
      </c>
      <c r="BM62" s="200">
        <f t="shared" si="131"/>
        <v>1096</v>
      </c>
      <c r="BN62" s="200"/>
      <c r="BO62" s="172"/>
      <c r="BP62" s="172"/>
      <c r="BQ62" s="107"/>
      <c r="BR62" s="107"/>
      <c r="BS62" s="107"/>
      <c r="BT62" s="107"/>
      <c r="BU62" s="170"/>
      <c r="BV62" s="174"/>
      <c r="BW62" s="268"/>
      <c r="BX62" s="169">
        <v>6377000.5999999996</v>
      </c>
      <c r="BY62" s="174"/>
      <c r="BZ62" s="268"/>
      <c r="CA62" s="268"/>
      <c r="CB62" s="268"/>
      <c r="CC62" s="681"/>
      <c r="CD62" s="511"/>
      <c r="CE62" s="384">
        <v>43274</v>
      </c>
      <c r="CF62" s="377"/>
      <c r="CG62" s="494">
        <f t="shared" si="76"/>
        <v>9.1999999999999993</v>
      </c>
      <c r="CH62" s="262">
        <v>17</v>
      </c>
      <c r="CI62" s="262">
        <f t="shared" si="100"/>
        <v>18</v>
      </c>
      <c r="CJ62" s="257">
        <f t="shared" si="77"/>
        <v>17</v>
      </c>
      <c r="CK62" s="257">
        <f t="shared" si="78"/>
        <v>18</v>
      </c>
      <c r="CL62" s="257">
        <f t="shared" si="79"/>
        <v>0</v>
      </c>
      <c r="CM62" s="257">
        <f t="shared" si="80"/>
        <v>0</v>
      </c>
      <c r="CN62" s="263"/>
      <c r="CO62" s="263">
        <f t="shared" si="104"/>
        <v>0</v>
      </c>
      <c r="CP62" s="258"/>
      <c r="CQ62" s="699">
        <f t="shared" si="81"/>
        <v>43792</v>
      </c>
      <c r="CR62" s="391">
        <f t="shared" si="140"/>
        <v>43792</v>
      </c>
      <c r="CS62" s="388">
        <f t="shared" si="114"/>
        <v>731</v>
      </c>
      <c r="CT62" s="258"/>
      <c r="CU62" s="258"/>
      <c r="CV62" s="650">
        <f t="shared" si="132"/>
        <v>43822</v>
      </c>
      <c r="CW62" s="506">
        <f t="shared" si="152"/>
        <v>43822</v>
      </c>
      <c r="CX62" s="654"/>
      <c r="CY62" s="123"/>
      <c r="CZ62" s="129"/>
      <c r="DA62" s="129"/>
      <c r="DB62" s="129"/>
      <c r="DC62" s="129"/>
      <c r="DD62" s="129"/>
      <c r="DE62" s="57"/>
      <c r="DF62" s="57"/>
      <c r="DG62" s="57"/>
      <c r="DH62" s="57"/>
      <c r="DI62" s="57"/>
      <c r="DJ62" s="57"/>
      <c r="DK62" s="57"/>
      <c r="DL62" s="57"/>
      <c r="DM62" s="57"/>
      <c r="DN62" s="57"/>
      <c r="DO62" s="57"/>
      <c r="DP62" s="57"/>
      <c r="DQ62" s="57"/>
      <c r="DR62" s="57"/>
      <c r="DS62" s="128"/>
      <c r="DT62" s="128"/>
      <c r="DU62" s="128"/>
      <c r="DV62" s="589" t="str">
        <f t="shared" si="82"/>
        <v>0</v>
      </c>
      <c r="DW62" s="128"/>
      <c r="DX62" s="128"/>
      <c r="DY62" s="589" t="str">
        <f t="shared" si="83"/>
        <v>0</v>
      </c>
      <c r="DZ62" s="343"/>
      <c r="EA62" s="343"/>
      <c r="EB62" s="589" t="str">
        <f t="shared" si="84"/>
        <v>0</v>
      </c>
      <c r="EC62" s="613"/>
      <c r="ED62" s="613"/>
      <c r="EE62" s="615" t="str">
        <f t="shared" si="85"/>
        <v>0</v>
      </c>
      <c r="EF62" s="613"/>
      <c r="EG62" s="613">
        <f t="shared" ca="1" si="153"/>
        <v>43163</v>
      </c>
      <c r="EH62" s="615" t="str">
        <f t="shared" ca="1" si="86"/>
        <v>0</v>
      </c>
      <c r="EI62" s="614"/>
      <c r="EJ62" s="605"/>
      <c r="EK62" s="600">
        <f t="shared" ca="1" si="154"/>
        <v>43163</v>
      </c>
      <c r="EL62" s="596" t="str">
        <f t="shared" ca="1" si="87"/>
        <v>0</v>
      </c>
      <c r="EM62" s="605"/>
      <c r="EN62" s="600">
        <f t="shared" ca="1" si="155"/>
        <v>43163</v>
      </c>
      <c r="EO62" s="596" t="str">
        <f t="shared" ca="1" si="88"/>
        <v>0</v>
      </c>
      <c r="EP62" s="600"/>
      <c r="EQ62" s="600">
        <f t="shared" ca="1" si="134"/>
        <v>43163</v>
      </c>
      <c r="ER62" s="596" t="str">
        <f t="shared" ca="1" si="89"/>
        <v>0</v>
      </c>
      <c r="ES62" s="600"/>
      <c r="ET62" s="600">
        <f t="shared" ca="1" si="135"/>
        <v>43163</v>
      </c>
      <c r="EU62" s="597" t="str">
        <f t="shared" ca="1" si="90"/>
        <v>0</v>
      </c>
      <c r="EV62" s="600"/>
      <c r="EW62" s="600">
        <f t="shared" ca="1" si="136"/>
        <v>43163</v>
      </c>
      <c r="EX62" s="596" t="str">
        <f t="shared" ca="1" si="91"/>
        <v>0</v>
      </c>
      <c r="EY62" s="600"/>
      <c r="EZ62" s="600">
        <f t="shared" ca="1" si="123"/>
        <v>43163</v>
      </c>
      <c r="FA62" s="596" t="str">
        <f t="shared" ca="1" si="92"/>
        <v>0</v>
      </c>
      <c r="FB62" s="600"/>
      <c r="FC62" s="600">
        <f t="shared" ca="1" si="141"/>
        <v>43163</v>
      </c>
      <c r="FD62" s="596" t="str">
        <f t="shared" ca="1" si="93"/>
        <v>0</v>
      </c>
      <c r="FE62" s="600"/>
      <c r="FF62" s="600">
        <f t="shared" ca="1" si="142"/>
        <v>43163</v>
      </c>
      <c r="FG62" s="596" t="str">
        <f t="shared" ca="1" si="94"/>
        <v>0</v>
      </c>
      <c r="FH62" s="600"/>
      <c r="FI62" s="600">
        <f t="shared" ca="1" si="143"/>
        <v>43163</v>
      </c>
      <c r="FJ62" s="596" t="str">
        <f t="shared" ca="1" si="95"/>
        <v>0</v>
      </c>
      <c r="FK62" s="600"/>
      <c r="FL62" s="600"/>
      <c r="FM62" s="600"/>
      <c r="FN62" s="600">
        <v>43678</v>
      </c>
      <c r="FO62" s="600">
        <f t="shared" si="111"/>
        <v>43792</v>
      </c>
      <c r="FP62" s="598">
        <f t="shared" ca="1" si="144"/>
        <v>17.166666666666668</v>
      </c>
      <c r="FQ62" s="600">
        <v>43707</v>
      </c>
      <c r="FR62" s="600">
        <f t="shared" si="112"/>
        <v>43822</v>
      </c>
      <c r="FS62" s="627">
        <v>0</v>
      </c>
      <c r="FT62" s="627">
        <v>0</v>
      </c>
      <c r="FU62" s="627"/>
      <c r="FV62" s="627"/>
      <c r="FW62" s="628">
        <f t="shared" ca="1" si="96"/>
        <v>0</v>
      </c>
      <c r="FX62" s="628">
        <f t="shared" si="120"/>
        <v>3.8333333333333335</v>
      </c>
      <c r="FY62" s="624"/>
      <c r="FZ62" s="641"/>
      <c r="GA62" s="641" t="s">
        <v>881</v>
      </c>
      <c r="GB62" s="624"/>
      <c r="GC62" s="118"/>
      <c r="GD62" s="118"/>
      <c r="GE62" s="10">
        <f>+GO62+GS62+GZ62+HT62+HE62</f>
        <v>6545033</v>
      </c>
      <c r="GF62" s="70">
        <f t="shared" si="105"/>
        <v>6863538.2000000002</v>
      </c>
      <c r="GG62" s="12">
        <f t="shared" si="116"/>
        <v>318505.20000000019</v>
      </c>
      <c r="GH62" s="23">
        <f t="shared" si="145"/>
        <v>2047.5431170675699</v>
      </c>
      <c r="GI62" s="23">
        <f t="shared" si="146"/>
        <v>176892.78378378379</v>
      </c>
      <c r="GJ62" s="307"/>
      <c r="GK62" s="75">
        <v>6233418.6500000004</v>
      </c>
      <c r="GL62" s="12">
        <f t="shared" si="97"/>
        <v>6233418.6500000004</v>
      </c>
      <c r="GM62" s="137">
        <f t="shared" si="101"/>
        <v>0.92726524661143417</v>
      </c>
      <c r="GN62" s="139">
        <v>0.4</v>
      </c>
      <c r="GO62" s="307">
        <v>1969908</v>
      </c>
      <c r="GP62" s="478">
        <v>2271739</v>
      </c>
      <c r="GQ62" s="52">
        <f t="shared" si="147"/>
        <v>53240.75675675676</v>
      </c>
      <c r="GR62" s="98">
        <f t="shared" si="156"/>
        <v>301831</v>
      </c>
      <c r="GS62" s="751">
        <v>3915125</v>
      </c>
      <c r="GT62" s="11">
        <f t="shared" si="117"/>
        <v>3931799.2</v>
      </c>
      <c r="GU62" s="317">
        <v>1087640.28</v>
      </c>
      <c r="GV62" s="317">
        <v>2844158.92</v>
      </c>
      <c r="GW62" s="38">
        <f t="shared" si="115"/>
        <v>16674.200000000186</v>
      </c>
      <c r="GX62" s="23">
        <f t="shared" si="148"/>
        <v>105814.18918918919</v>
      </c>
      <c r="GY62" s="75"/>
      <c r="GZ62" s="307">
        <v>660000</v>
      </c>
      <c r="HA62" s="478">
        <v>660000</v>
      </c>
      <c r="HB62" s="75"/>
      <c r="HC62" s="91">
        <f t="shared" si="149"/>
        <v>0.10083982769834773</v>
      </c>
      <c r="HD62" s="433"/>
      <c r="HE62" s="75"/>
      <c r="HF62" s="24">
        <f t="shared" si="139"/>
        <v>0</v>
      </c>
      <c r="HG62" s="23">
        <f t="shared" si="150"/>
        <v>17837.837837837837</v>
      </c>
      <c r="HH62" s="84">
        <f t="shared" si="151"/>
        <v>71078.5945945946</v>
      </c>
      <c r="HI62" s="24">
        <f t="shared" si="118"/>
        <v>0</v>
      </c>
      <c r="HJ62" s="93">
        <v>5.15</v>
      </c>
      <c r="HK62" s="93">
        <v>5.0999999999999996</v>
      </c>
      <c r="HL62" s="455"/>
      <c r="HM62" s="455"/>
      <c r="HN62" s="23">
        <f t="shared" si="137"/>
        <v>71078.5945945946</v>
      </c>
      <c r="HO62" s="455"/>
      <c r="HP62" s="23">
        <f t="shared" si="108"/>
        <v>79236.189189189186</v>
      </c>
      <c r="HQ62" s="53">
        <f t="shared" si="138"/>
        <v>0.4018173781553126</v>
      </c>
      <c r="HR62" s="455"/>
      <c r="HS62" s="455"/>
      <c r="HT62" s="75"/>
      <c r="HU62" s="42">
        <f t="shared" ref="HU62:HU99" si="157">GE62+HL62</f>
        <v>6545033</v>
      </c>
      <c r="HV62" s="296"/>
      <c r="HW62" s="296">
        <f t="shared" si="99"/>
        <v>0</v>
      </c>
      <c r="HX62" s="297"/>
      <c r="HY62" s="296"/>
      <c r="HZ62" s="296"/>
      <c r="IA62" s="290"/>
      <c r="IB62" s="290"/>
      <c r="IC62" s="520"/>
      <c r="ID62" s="290"/>
      <c r="IE62" s="293"/>
      <c r="IF62" s="290"/>
      <c r="IG62" s="523"/>
      <c r="IH62" s="298"/>
      <c r="II62" s="303"/>
      <c r="IJ62" s="301"/>
      <c r="IK62" s="301"/>
      <c r="IL62" s="295"/>
      <c r="IM62" s="300"/>
      <c r="IN62" s="295"/>
      <c r="IO62" s="300"/>
      <c r="IP62" s="326"/>
      <c r="IQ62" s="326"/>
      <c r="IR62" s="326"/>
      <c r="IS62" s="326"/>
      <c r="IT62" s="289"/>
      <c r="IU62" s="289"/>
      <c r="IV62" s="289"/>
      <c r="IW62" s="289"/>
      <c r="IX62" s="289"/>
      <c r="IY62" s="289"/>
      <c r="IZ62" s="296"/>
      <c r="JA62" s="291"/>
      <c r="JB62" s="298"/>
      <c r="JC62" s="291"/>
      <c r="JD62" s="291"/>
      <c r="JE62" s="298"/>
    </row>
    <row r="63" spans="1:265" ht="24.95" customHeight="1">
      <c r="A63" s="318" t="s">
        <v>490</v>
      </c>
      <c r="B63" s="56" t="s">
        <v>28</v>
      </c>
      <c r="C63" s="56" t="s">
        <v>117</v>
      </c>
      <c r="D63" s="56">
        <v>2017</v>
      </c>
      <c r="E63" s="56"/>
      <c r="F63" s="56" t="s">
        <v>488</v>
      </c>
      <c r="G63" s="56" t="s">
        <v>189</v>
      </c>
      <c r="H63" s="56" t="s">
        <v>184</v>
      </c>
      <c r="I63" s="56"/>
      <c r="J63" s="56" t="s">
        <v>491</v>
      </c>
      <c r="K63" s="275" t="s">
        <v>553</v>
      </c>
      <c r="L63" s="178" t="s">
        <v>64</v>
      </c>
      <c r="M63" s="179" t="s">
        <v>523</v>
      </c>
      <c r="N63" s="180">
        <v>34851</v>
      </c>
      <c r="O63" s="245"/>
      <c r="P63" s="245"/>
      <c r="Q63" s="245"/>
      <c r="R63" s="245"/>
      <c r="S63" s="245"/>
      <c r="T63" s="719"/>
      <c r="U63" s="719"/>
      <c r="V63" s="719"/>
      <c r="W63" s="245"/>
      <c r="X63" s="220"/>
      <c r="Y63" s="221"/>
      <c r="Z63" s="220"/>
      <c r="AA63" s="220"/>
      <c r="AB63" s="221"/>
      <c r="AC63" s="56" t="s">
        <v>487</v>
      </c>
      <c r="AD63" s="345">
        <f t="shared" si="75"/>
        <v>10</v>
      </c>
      <c r="AE63" s="67"/>
      <c r="AF63" s="120"/>
      <c r="AG63" s="120"/>
      <c r="AH63" s="345">
        <v>10</v>
      </c>
      <c r="AI63" s="60"/>
      <c r="AJ63" s="95"/>
      <c r="AK63" s="9"/>
      <c r="AL63" s="81"/>
      <c r="AM63" s="81"/>
      <c r="AN63" s="81"/>
      <c r="AO63" s="81"/>
      <c r="AP63" s="81"/>
      <c r="AQ63" s="60"/>
      <c r="AR63" s="79"/>
      <c r="AS63" s="81"/>
      <c r="AT63" s="60"/>
      <c r="AU63" s="56"/>
      <c r="AV63" s="56"/>
      <c r="AW63" s="56"/>
      <c r="AX63" s="56"/>
      <c r="AY63" s="115"/>
      <c r="AZ63" s="115"/>
      <c r="BA63" s="100"/>
      <c r="BB63" s="216">
        <v>43005</v>
      </c>
      <c r="BC63" s="102"/>
      <c r="BD63" s="102"/>
      <c r="BE63" s="216"/>
      <c r="BF63" s="102"/>
      <c r="BG63" s="172"/>
      <c r="BH63" s="215"/>
      <c r="BI63" s="172"/>
      <c r="BJ63" s="172"/>
      <c r="BK63" s="103"/>
      <c r="BL63" s="200">
        <f t="shared" si="130"/>
        <v>731</v>
      </c>
      <c r="BM63" s="200">
        <f t="shared" si="131"/>
        <v>1096</v>
      </c>
      <c r="BN63" s="200"/>
      <c r="BO63" s="172"/>
      <c r="BP63" s="177"/>
      <c r="BQ63" s="103"/>
      <c r="BR63" s="104"/>
      <c r="BS63" s="104"/>
      <c r="BT63" s="104"/>
      <c r="BU63" s="170"/>
      <c r="BV63" s="268"/>
      <c r="BW63" s="268"/>
      <c r="BX63" s="169"/>
      <c r="BY63" s="268"/>
      <c r="BZ63" s="268"/>
      <c r="CA63" s="268"/>
      <c r="CB63" s="450"/>
      <c r="CC63" s="682"/>
      <c r="CD63" s="509"/>
      <c r="CE63" s="384">
        <v>43191</v>
      </c>
      <c r="CF63" s="377"/>
      <c r="CG63" s="494">
        <f t="shared" si="76"/>
        <v>6.2</v>
      </c>
      <c r="CH63" s="262">
        <v>12</v>
      </c>
      <c r="CI63" s="262">
        <f t="shared" si="100"/>
        <v>13</v>
      </c>
      <c r="CJ63" s="257">
        <f t="shared" si="77"/>
        <v>12</v>
      </c>
      <c r="CK63" s="257">
        <f t="shared" si="78"/>
        <v>13</v>
      </c>
      <c r="CL63" s="257">
        <f t="shared" si="79"/>
        <v>0</v>
      </c>
      <c r="CM63" s="257">
        <f t="shared" si="80"/>
        <v>0</v>
      </c>
      <c r="CN63" s="263"/>
      <c r="CO63" s="263">
        <f t="shared" si="104"/>
        <v>0</v>
      </c>
      <c r="CP63" s="258"/>
      <c r="CQ63" s="699">
        <f t="shared" si="81"/>
        <v>43556</v>
      </c>
      <c r="CR63" s="391">
        <f t="shared" si="140"/>
        <v>43556</v>
      </c>
      <c r="CS63" s="388">
        <f t="shared" si="114"/>
        <v>731</v>
      </c>
      <c r="CT63" s="258"/>
      <c r="CU63" s="258"/>
      <c r="CV63" s="651">
        <f t="shared" si="132"/>
        <v>43586</v>
      </c>
      <c r="CW63" s="506">
        <f t="shared" si="152"/>
        <v>43586</v>
      </c>
      <c r="CX63" s="654"/>
      <c r="CY63" s="123"/>
      <c r="CZ63" s="127"/>
      <c r="DA63" s="127"/>
      <c r="DB63" s="127"/>
      <c r="DC63" s="127"/>
      <c r="DD63" s="127"/>
      <c r="DE63" s="56"/>
      <c r="DF63" s="56"/>
      <c r="DG63" s="56"/>
      <c r="DH63" s="56"/>
      <c r="DI63" s="56"/>
      <c r="DJ63" s="56"/>
      <c r="DK63" s="56"/>
      <c r="DL63" s="56"/>
      <c r="DM63" s="56"/>
      <c r="DN63" s="56"/>
      <c r="DO63" s="56"/>
      <c r="DP63" s="56"/>
      <c r="DQ63" s="56"/>
      <c r="DR63" s="56"/>
      <c r="DS63" s="343">
        <v>42773</v>
      </c>
      <c r="DT63" s="128"/>
      <c r="DU63" s="128"/>
      <c r="DV63" s="589" t="str">
        <f t="shared" si="82"/>
        <v>0</v>
      </c>
      <c r="DW63" s="128">
        <v>42874</v>
      </c>
      <c r="DX63" s="128">
        <v>42879</v>
      </c>
      <c r="DY63" s="589">
        <f t="shared" si="83"/>
        <v>5</v>
      </c>
      <c r="DZ63" s="343">
        <v>42877</v>
      </c>
      <c r="EA63" s="343">
        <v>42853</v>
      </c>
      <c r="EB63" s="589">
        <f t="shared" si="84"/>
        <v>-24</v>
      </c>
      <c r="EC63" s="613">
        <v>42879</v>
      </c>
      <c r="ED63" s="610">
        <f ca="1">IF(EC63&lt;TODAY(),TODAY(),EC63)</f>
        <v>43163</v>
      </c>
      <c r="EE63" s="615">
        <f t="shared" ca="1" si="85"/>
        <v>284</v>
      </c>
      <c r="EF63" s="613">
        <v>42962</v>
      </c>
      <c r="EG63" s="613">
        <f t="shared" ca="1" si="153"/>
        <v>43163</v>
      </c>
      <c r="EH63" s="615">
        <f t="shared" ca="1" si="86"/>
        <v>201</v>
      </c>
      <c r="EI63" s="618"/>
      <c r="EJ63" s="605">
        <v>43045</v>
      </c>
      <c r="EK63" s="600">
        <f t="shared" ca="1" si="154"/>
        <v>43163</v>
      </c>
      <c r="EL63" s="596">
        <f t="shared" ca="1" si="87"/>
        <v>118</v>
      </c>
      <c r="EM63" s="605">
        <v>43049</v>
      </c>
      <c r="EN63" s="600">
        <f t="shared" ca="1" si="155"/>
        <v>43163</v>
      </c>
      <c r="EO63" s="596">
        <f t="shared" ca="1" si="88"/>
        <v>114</v>
      </c>
      <c r="EP63" s="594"/>
      <c r="EQ63" s="600">
        <f t="shared" ca="1" si="134"/>
        <v>43163</v>
      </c>
      <c r="ER63" s="596" t="str">
        <f t="shared" ca="1" si="89"/>
        <v>0</v>
      </c>
      <c r="ES63" s="594"/>
      <c r="ET63" s="622">
        <f t="shared" ca="1" si="135"/>
        <v>43163</v>
      </c>
      <c r="EU63" s="597" t="str">
        <f t="shared" ca="1" si="90"/>
        <v>0</v>
      </c>
      <c r="EV63" s="600"/>
      <c r="EW63" s="600">
        <f t="shared" ca="1" si="136"/>
        <v>43163</v>
      </c>
      <c r="EX63" s="596" t="str">
        <f t="shared" ca="1" si="91"/>
        <v>0</v>
      </c>
      <c r="EY63" s="594"/>
      <c r="EZ63" s="600">
        <f t="shared" ca="1" si="123"/>
        <v>43163</v>
      </c>
      <c r="FA63" s="596" t="str">
        <f t="shared" ca="1" si="92"/>
        <v>0</v>
      </c>
      <c r="FB63" s="600"/>
      <c r="FC63" s="600">
        <f t="shared" ca="1" si="141"/>
        <v>43163</v>
      </c>
      <c r="FD63" s="596" t="str">
        <f t="shared" ca="1" si="93"/>
        <v>0</v>
      </c>
      <c r="FE63" s="600"/>
      <c r="FF63" s="600">
        <f t="shared" ca="1" si="142"/>
        <v>43163</v>
      </c>
      <c r="FG63" s="596" t="str">
        <f t="shared" ca="1" si="94"/>
        <v>0</v>
      </c>
      <c r="FH63" s="600"/>
      <c r="FI63" s="600">
        <f t="shared" ca="1" si="143"/>
        <v>43163</v>
      </c>
      <c r="FJ63" s="596" t="str">
        <f t="shared" ca="1" si="95"/>
        <v>0</v>
      </c>
      <c r="FK63" s="600"/>
      <c r="FL63" s="600"/>
      <c r="FM63" s="600"/>
      <c r="FN63" s="600">
        <v>43781</v>
      </c>
      <c r="FO63" s="600">
        <f t="shared" si="111"/>
        <v>43556</v>
      </c>
      <c r="FP63" s="598">
        <f t="shared" ca="1" si="144"/>
        <v>20.6</v>
      </c>
      <c r="FQ63" s="600">
        <v>43811</v>
      </c>
      <c r="FR63" s="600">
        <f t="shared" si="112"/>
        <v>43586</v>
      </c>
      <c r="FS63" s="627">
        <v>0</v>
      </c>
      <c r="FT63" s="627">
        <v>0</v>
      </c>
      <c r="FU63" s="627"/>
      <c r="FV63" s="627"/>
      <c r="FW63" s="628">
        <f t="shared" ca="1" si="96"/>
        <v>23.266666666666666</v>
      </c>
      <c r="FX63" s="628">
        <f t="shared" si="120"/>
        <v>-7.5</v>
      </c>
      <c r="FY63" s="630"/>
      <c r="FZ63" s="657"/>
      <c r="GA63" s="657" t="s">
        <v>872</v>
      </c>
      <c r="GB63" s="630" t="s">
        <v>833</v>
      </c>
      <c r="GC63" s="118"/>
      <c r="GD63" s="118"/>
      <c r="GE63" s="426">
        <f>+GO63+GS63+GZ63+HT63+HE63+HD63</f>
        <v>0</v>
      </c>
      <c r="GF63" s="426">
        <f>GP63+GT63+GY63+HA63+HE63</f>
        <v>0</v>
      </c>
      <c r="GG63" s="426"/>
      <c r="GH63" s="427" t="e">
        <f t="shared" si="145"/>
        <v>#DIV/0!</v>
      </c>
      <c r="GI63" s="427">
        <f t="shared" si="146"/>
        <v>0</v>
      </c>
      <c r="GJ63" s="426"/>
      <c r="GK63" s="426"/>
      <c r="GL63" s="427"/>
      <c r="GM63" s="211"/>
      <c r="GN63" s="112"/>
      <c r="GO63" s="691"/>
      <c r="GP63" s="426"/>
      <c r="GQ63" s="427">
        <f t="shared" si="147"/>
        <v>0</v>
      </c>
      <c r="GR63" s="427">
        <f t="shared" si="156"/>
        <v>0</v>
      </c>
      <c r="GS63" s="752"/>
      <c r="GT63" s="426"/>
      <c r="GU63" s="426"/>
      <c r="GV63" s="426"/>
      <c r="GW63" s="427"/>
      <c r="GX63" s="427">
        <f t="shared" si="148"/>
        <v>0</v>
      </c>
      <c r="GY63" s="426"/>
      <c r="GZ63" s="426"/>
      <c r="HA63" s="426"/>
      <c r="HB63" s="426"/>
      <c r="HC63" s="428" t="e">
        <f t="shared" si="149"/>
        <v>#DIV/0!</v>
      </c>
      <c r="HD63" s="426"/>
      <c r="HE63" s="426"/>
      <c r="HF63" s="427">
        <f t="shared" si="139"/>
        <v>0</v>
      </c>
      <c r="HG63" s="427">
        <f t="shared" si="150"/>
        <v>0</v>
      </c>
      <c r="HH63" s="429">
        <f t="shared" si="151"/>
        <v>0</v>
      </c>
      <c r="HI63" s="427">
        <f t="shared" si="118"/>
        <v>0</v>
      </c>
      <c r="HJ63" s="430"/>
      <c r="HK63" s="430"/>
      <c r="HL63" s="426"/>
      <c r="HM63" s="426"/>
      <c r="HN63" s="427">
        <f t="shared" si="137"/>
        <v>0</v>
      </c>
      <c r="HO63" s="426"/>
      <c r="HP63" s="427">
        <f>(GP63+GZ63+HM63+HO63)/AD63</f>
        <v>0</v>
      </c>
      <c r="HQ63" s="112" t="e">
        <f t="shared" si="138"/>
        <v>#DIV/0!</v>
      </c>
      <c r="HR63" s="426"/>
      <c r="HS63" s="426"/>
      <c r="HT63" s="426"/>
      <c r="HU63" s="434">
        <f t="shared" si="157"/>
        <v>0</v>
      </c>
      <c r="HV63" s="296"/>
      <c r="HW63" s="296">
        <f t="shared" si="99"/>
        <v>0</v>
      </c>
      <c r="HX63" s="297"/>
      <c r="HY63" s="300">
        <v>0</v>
      </c>
      <c r="HZ63" s="300"/>
      <c r="IA63" s="272"/>
      <c r="IB63" s="272"/>
      <c r="IC63" s="424">
        <v>0</v>
      </c>
      <c r="ID63" s="281"/>
      <c r="IE63" s="293">
        <v>0</v>
      </c>
      <c r="IF63" s="281"/>
      <c r="IG63" s="523"/>
      <c r="IH63" s="298"/>
      <c r="II63" s="303"/>
      <c r="IJ63" s="301"/>
      <c r="IK63" s="301"/>
      <c r="IL63" s="295"/>
      <c r="IM63" s="300"/>
      <c r="IN63" s="295"/>
      <c r="IO63" s="300"/>
      <c r="IP63" s="326"/>
      <c r="IQ63" s="326"/>
      <c r="IR63" s="326"/>
      <c r="IS63" s="326"/>
      <c r="IT63" s="289"/>
      <c r="IU63" s="289"/>
      <c r="IV63" s="289"/>
      <c r="IW63" s="289"/>
      <c r="IX63" s="289"/>
      <c r="IY63" s="289"/>
      <c r="IZ63" s="300" t="e">
        <f>$IZ$1*HV63</f>
        <v>#VALUE!</v>
      </c>
      <c r="JA63" s="123"/>
      <c r="JB63" s="298"/>
      <c r="JC63" s="123"/>
      <c r="JD63" s="123"/>
      <c r="JE63" s="298"/>
    </row>
    <row r="64" spans="1:265" ht="24.95" customHeight="1">
      <c r="A64" s="318" t="s">
        <v>486</v>
      </c>
      <c r="B64" s="56" t="s">
        <v>28</v>
      </c>
      <c r="C64" s="56" t="s">
        <v>117</v>
      </c>
      <c r="D64" s="56">
        <v>2017</v>
      </c>
      <c r="E64" s="56"/>
      <c r="F64" s="56" t="s">
        <v>488</v>
      </c>
      <c r="G64" s="56" t="s">
        <v>297</v>
      </c>
      <c r="H64" s="56" t="s">
        <v>185</v>
      </c>
      <c r="I64" s="56"/>
      <c r="J64" s="56" t="s">
        <v>489</v>
      </c>
      <c r="K64" s="275" t="s">
        <v>552</v>
      </c>
      <c r="L64" s="178" t="s">
        <v>64</v>
      </c>
      <c r="M64" s="179" t="s">
        <v>526</v>
      </c>
      <c r="N64" s="180">
        <v>34914</v>
      </c>
      <c r="O64" s="245"/>
      <c r="P64" s="245"/>
      <c r="Q64" s="245"/>
      <c r="R64" s="245"/>
      <c r="S64" s="245"/>
      <c r="T64" s="719"/>
      <c r="U64" s="719"/>
      <c r="V64" s="719"/>
      <c r="W64" s="245"/>
      <c r="X64" s="220"/>
      <c r="Y64" s="221"/>
      <c r="Z64" s="220"/>
      <c r="AA64" s="220"/>
      <c r="AB64" s="221"/>
      <c r="AC64" s="56" t="s">
        <v>487</v>
      </c>
      <c r="AD64" s="345">
        <f t="shared" si="75"/>
        <v>26</v>
      </c>
      <c r="AE64" s="67"/>
      <c r="AF64" s="120"/>
      <c r="AG64" s="120"/>
      <c r="AH64" s="205">
        <v>26</v>
      </c>
      <c r="AI64" s="60"/>
      <c r="AJ64" s="95"/>
      <c r="AK64" s="9"/>
      <c r="AL64" s="81"/>
      <c r="AM64" s="81"/>
      <c r="AN64" s="81"/>
      <c r="AO64" s="81"/>
      <c r="AP64" s="81"/>
      <c r="AQ64" s="60"/>
      <c r="AR64" s="79"/>
      <c r="AS64" s="81"/>
      <c r="AT64" s="60"/>
      <c r="AU64" s="56"/>
      <c r="AV64" s="56"/>
      <c r="AW64" s="56"/>
      <c r="AX64" s="56"/>
      <c r="AY64" s="115"/>
      <c r="AZ64" s="115"/>
      <c r="BA64" s="100"/>
      <c r="BB64" s="216">
        <v>43005</v>
      </c>
      <c r="BC64" s="102"/>
      <c r="BD64" s="102"/>
      <c r="BE64" s="216"/>
      <c r="BF64" s="102"/>
      <c r="BG64" s="172"/>
      <c r="BH64" s="215"/>
      <c r="BI64" s="172"/>
      <c r="BJ64" s="172"/>
      <c r="BK64" s="103"/>
      <c r="BL64" s="200">
        <f t="shared" si="130"/>
        <v>731</v>
      </c>
      <c r="BM64" s="200">
        <f t="shared" si="131"/>
        <v>1096</v>
      </c>
      <c r="BN64" s="200"/>
      <c r="BO64" s="172"/>
      <c r="BP64" s="177"/>
      <c r="BQ64" s="103"/>
      <c r="BR64" s="104"/>
      <c r="BS64" s="104"/>
      <c r="BT64" s="104"/>
      <c r="BU64" s="170"/>
      <c r="BV64" s="268"/>
      <c r="BW64" s="268"/>
      <c r="BX64" s="169"/>
      <c r="BY64" s="268"/>
      <c r="BZ64" s="268"/>
      <c r="CA64" s="268"/>
      <c r="CB64" s="450"/>
      <c r="CC64" s="682"/>
      <c r="CD64" s="509"/>
      <c r="CE64" s="384">
        <v>43191</v>
      </c>
      <c r="CF64" s="377"/>
      <c r="CG64" s="494">
        <f t="shared" si="76"/>
        <v>6.2</v>
      </c>
      <c r="CH64" s="262">
        <v>12</v>
      </c>
      <c r="CI64" s="262">
        <f t="shared" si="100"/>
        <v>13</v>
      </c>
      <c r="CJ64" s="257">
        <f t="shared" si="77"/>
        <v>12</v>
      </c>
      <c r="CK64" s="257">
        <f t="shared" si="78"/>
        <v>13</v>
      </c>
      <c r="CL64" s="257">
        <f t="shared" si="79"/>
        <v>0</v>
      </c>
      <c r="CM64" s="257">
        <f t="shared" si="80"/>
        <v>0</v>
      </c>
      <c r="CN64" s="263"/>
      <c r="CO64" s="263">
        <f t="shared" si="104"/>
        <v>0</v>
      </c>
      <c r="CP64" s="258"/>
      <c r="CQ64" s="699">
        <f t="shared" si="81"/>
        <v>43556</v>
      </c>
      <c r="CR64" s="391">
        <f t="shared" si="140"/>
        <v>43556</v>
      </c>
      <c r="CS64" s="388">
        <f t="shared" si="114"/>
        <v>731</v>
      </c>
      <c r="CT64" s="258"/>
      <c r="CU64" s="258"/>
      <c r="CV64" s="651">
        <f t="shared" si="132"/>
        <v>43586</v>
      </c>
      <c r="CW64" s="506">
        <f t="shared" si="152"/>
        <v>43586</v>
      </c>
      <c r="CX64" s="654"/>
      <c r="CY64" s="123"/>
      <c r="CZ64" s="127"/>
      <c r="DA64" s="127"/>
      <c r="DB64" s="127"/>
      <c r="DC64" s="127"/>
      <c r="DD64" s="127"/>
      <c r="DE64" s="56"/>
      <c r="DF64" s="56"/>
      <c r="DG64" s="56"/>
      <c r="DH64" s="56"/>
      <c r="DI64" s="56"/>
      <c r="DJ64" s="56"/>
      <c r="DK64" s="56"/>
      <c r="DL64" s="56"/>
      <c r="DM64" s="56"/>
      <c r="DN64" s="56"/>
      <c r="DO64" s="56"/>
      <c r="DP64" s="56"/>
      <c r="DQ64" s="56"/>
      <c r="DR64" s="56"/>
      <c r="DS64" s="343">
        <v>42649</v>
      </c>
      <c r="DT64" s="128"/>
      <c r="DU64" s="128"/>
      <c r="DV64" s="589" t="str">
        <f t="shared" si="82"/>
        <v>0</v>
      </c>
      <c r="DW64" s="128">
        <v>42839</v>
      </c>
      <c r="DX64" s="128">
        <v>42879</v>
      </c>
      <c r="DY64" s="589">
        <f t="shared" si="83"/>
        <v>40</v>
      </c>
      <c r="DZ64" s="343">
        <v>42814</v>
      </c>
      <c r="EA64" s="343">
        <v>42793</v>
      </c>
      <c r="EB64" s="589">
        <f t="shared" si="84"/>
        <v>-21</v>
      </c>
      <c r="EC64" s="613">
        <v>42844</v>
      </c>
      <c r="ED64" s="610">
        <f ca="1">IF(EC64&lt;TODAY(),TODAY(),EC64)</f>
        <v>43163</v>
      </c>
      <c r="EE64" s="615">
        <f t="shared" ca="1" si="85"/>
        <v>319</v>
      </c>
      <c r="EF64" s="613">
        <v>42965</v>
      </c>
      <c r="EG64" s="613">
        <f t="shared" ca="1" si="153"/>
        <v>43163</v>
      </c>
      <c r="EH64" s="615">
        <f t="shared" ca="1" si="86"/>
        <v>198</v>
      </c>
      <c r="EI64" s="618"/>
      <c r="EJ64" s="605">
        <v>43083</v>
      </c>
      <c r="EK64" s="600">
        <f t="shared" ca="1" si="154"/>
        <v>43163</v>
      </c>
      <c r="EL64" s="596">
        <f t="shared" ca="1" si="87"/>
        <v>80</v>
      </c>
      <c r="EM64" s="605">
        <v>43090</v>
      </c>
      <c r="EN64" s="600">
        <f t="shared" ca="1" si="155"/>
        <v>43163</v>
      </c>
      <c r="EO64" s="596">
        <f t="shared" ca="1" si="88"/>
        <v>73</v>
      </c>
      <c r="EP64" s="594"/>
      <c r="EQ64" s="600">
        <f t="shared" ca="1" si="134"/>
        <v>43163</v>
      </c>
      <c r="ER64" s="596" t="str">
        <f t="shared" ca="1" si="89"/>
        <v>0</v>
      </c>
      <c r="ES64" s="594"/>
      <c r="ET64" s="622">
        <f t="shared" ca="1" si="135"/>
        <v>43163</v>
      </c>
      <c r="EU64" s="597" t="str">
        <f t="shared" ca="1" si="90"/>
        <v>0</v>
      </c>
      <c r="EV64" s="600"/>
      <c r="EW64" s="600">
        <f t="shared" ca="1" si="136"/>
        <v>43163</v>
      </c>
      <c r="EX64" s="596" t="str">
        <f t="shared" ca="1" si="91"/>
        <v>0</v>
      </c>
      <c r="EY64" s="600"/>
      <c r="EZ64" s="600">
        <f t="shared" ca="1" si="123"/>
        <v>43163</v>
      </c>
      <c r="FA64" s="596" t="str">
        <f t="shared" ca="1" si="92"/>
        <v>0</v>
      </c>
      <c r="FB64" s="600"/>
      <c r="FC64" s="600">
        <f t="shared" ca="1" si="141"/>
        <v>43163</v>
      </c>
      <c r="FD64" s="596" t="str">
        <f t="shared" ca="1" si="93"/>
        <v>0</v>
      </c>
      <c r="FE64" s="600"/>
      <c r="FF64" s="600">
        <f t="shared" ca="1" si="142"/>
        <v>43163</v>
      </c>
      <c r="FG64" s="596" t="str">
        <f t="shared" ca="1" si="94"/>
        <v>0</v>
      </c>
      <c r="FH64" s="600"/>
      <c r="FI64" s="600">
        <f t="shared" ca="1" si="143"/>
        <v>43163</v>
      </c>
      <c r="FJ64" s="596" t="str">
        <f t="shared" ca="1" si="95"/>
        <v>0</v>
      </c>
      <c r="FK64" s="600"/>
      <c r="FL64" s="600"/>
      <c r="FM64" s="600"/>
      <c r="FN64" s="600">
        <v>43819</v>
      </c>
      <c r="FO64" s="600">
        <f t="shared" si="111"/>
        <v>43556</v>
      </c>
      <c r="FP64" s="598">
        <f t="shared" ca="1" si="144"/>
        <v>21.866666666666667</v>
      </c>
      <c r="FQ64" s="600">
        <v>43850</v>
      </c>
      <c r="FR64" s="600">
        <f t="shared" si="112"/>
        <v>43586</v>
      </c>
      <c r="FS64" s="627">
        <v>0</v>
      </c>
      <c r="FT64" s="627">
        <v>0</v>
      </c>
      <c r="FU64" s="627"/>
      <c r="FV64" s="627"/>
      <c r="FW64" s="628">
        <f t="shared" ca="1" si="96"/>
        <v>22.966666666666665</v>
      </c>
      <c r="FX64" s="628">
        <f t="shared" si="120"/>
        <v>-8.8000000000000007</v>
      </c>
      <c r="FY64" s="624"/>
      <c r="FZ64" s="641"/>
      <c r="GA64" s="641"/>
      <c r="GB64" s="624"/>
      <c r="GC64" s="118"/>
      <c r="GD64" s="118"/>
      <c r="GE64" s="426">
        <f>+GO64+GS64+GZ64+HT64+HE64+HD64</f>
        <v>0</v>
      </c>
      <c r="GF64" s="426">
        <f>GP64+GT64+GY64+HA64+HE64</f>
        <v>0</v>
      </c>
      <c r="GG64" s="426"/>
      <c r="GH64" s="427" t="e">
        <f t="shared" si="145"/>
        <v>#DIV/0!</v>
      </c>
      <c r="GI64" s="427">
        <f t="shared" si="146"/>
        <v>0</v>
      </c>
      <c r="GJ64" s="426"/>
      <c r="GK64" s="426"/>
      <c r="GL64" s="427"/>
      <c r="GM64" s="112"/>
      <c r="GN64" s="432"/>
      <c r="GO64" s="691"/>
      <c r="GP64" s="426"/>
      <c r="GQ64" s="427">
        <f t="shared" si="147"/>
        <v>0</v>
      </c>
      <c r="GR64" s="427">
        <f t="shared" si="156"/>
        <v>0</v>
      </c>
      <c r="GS64" s="752"/>
      <c r="GT64" s="426"/>
      <c r="GU64" s="426"/>
      <c r="GV64" s="426"/>
      <c r="GW64" s="427"/>
      <c r="GX64" s="427">
        <f t="shared" si="148"/>
        <v>0</v>
      </c>
      <c r="GY64" s="426"/>
      <c r="GZ64" s="426"/>
      <c r="HA64" s="426"/>
      <c r="HB64" s="426"/>
      <c r="HC64" s="428" t="e">
        <f t="shared" si="149"/>
        <v>#DIV/0!</v>
      </c>
      <c r="HD64" s="426"/>
      <c r="HE64" s="426"/>
      <c r="HF64" s="427">
        <f t="shared" si="139"/>
        <v>0</v>
      </c>
      <c r="HG64" s="427">
        <f t="shared" si="150"/>
        <v>0</v>
      </c>
      <c r="HH64" s="429">
        <f t="shared" si="151"/>
        <v>0</v>
      </c>
      <c r="HI64" s="427">
        <f t="shared" si="118"/>
        <v>0</v>
      </c>
      <c r="HJ64" s="430"/>
      <c r="HK64" s="430"/>
      <c r="HL64" s="426"/>
      <c r="HM64" s="426"/>
      <c r="HN64" s="427">
        <f t="shared" si="137"/>
        <v>0</v>
      </c>
      <c r="HO64" s="426"/>
      <c r="HP64" s="427">
        <f>(GP64+GZ64+HM64+HO64)/AD64</f>
        <v>0</v>
      </c>
      <c r="HQ64" s="112" t="e">
        <f t="shared" si="138"/>
        <v>#DIV/0!</v>
      </c>
      <c r="HR64" s="426"/>
      <c r="HS64" s="426"/>
      <c r="HT64" s="426"/>
      <c r="HU64" s="434">
        <f t="shared" si="157"/>
        <v>0</v>
      </c>
      <c r="HV64" s="296"/>
      <c r="HW64" s="296">
        <f t="shared" si="99"/>
        <v>0</v>
      </c>
      <c r="HX64" s="297"/>
      <c r="HY64" s="300">
        <v>0</v>
      </c>
      <c r="HZ64" s="300"/>
      <c r="IA64" s="288"/>
      <c r="IB64" s="288"/>
      <c r="IC64" s="519">
        <v>0</v>
      </c>
      <c r="ID64" s="288"/>
      <c r="IE64" s="293">
        <v>0</v>
      </c>
      <c r="IF64" s="288"/>
      <c r="IG64" s="523"/>
      <c r="IH64" s="298"/>
      <c r="II64" s="303"/>
      <c r="IJ64" s="301"/>
      <c r="IK64" s="301"/>
      <c r="IL64" s="295"/>
      <c r="IM64" s="296"/>
      <c r="IN64" s="295"/>
      <c r="IO64" s="296"/>
      <c r="IP64" s="326"/>
      <c r="IQ64" s="326"/>
      <c r="IR64" s="326"/>
      <c r="IS64" s="326"/>
      <c r="IT64" s="289"/>
      <c r="IU64" s="289"/>
      <c r="IV64" s="289"/>
      <c r="IW64" s="289"/>
      <c r="IX64" s="289"/>
      <c r="IY64" s="289"/>
      <c r="IZ64" s="300" t="e">
        <f>$IZ$1*HV64</f>
        <v>#VALUE!</v>
      </c>
      <c r="JA64" s="123"/>
      <c r="JB64" s="298"/>
      <c r="JC64" s="123"/>
      <c r="JD64" s="123"/>
      <c r="JE64" s="298"/>
    </row>
    <row r="65" spans="1:265" ht="24.95" customHeight="1">
      <c r="A65" s="318" t="s">
        <v>492</v>
      </c>
      <c r="B65" s="56" t="s">
        <v>46</v>
      </c>
      <c r="C65" s="56" t="s">
        <v>117</v>
      </c>
      <c r="D65" s="56">
        <v>2017</v>
      </c>
      <c r="E65" s="56"/>
      <c r="F65" s="56" t="s">
        <v>488</v>
      </c>
      <c r="G65" s="442" t="s">
        <v>189</v>
      </c>
      <c r="H65" s="56" t="s">
        <v>185</v>
      </c>
      <c r="I65" s="56"/>
      <c r="J65" s="56" t="s">
        <v>493</v>
      </c>
      <c r="K65" s="275" t="s">
        <v>554</v>
      </c>
      <c r="L65" s="178" t="s">
        <v>64</v>
      </c>
      <c r="M65" s="179" t="s">
        <v>530</v>
      </c>
      <c r="N65" s="180">
        <v>35049</v>
      </c>
      <c r="O65" s="245"/>
      <c r="P65" s="245"/>
      <c r="Q65" s="245"/>
      <c r="R65" s="245"/>
      <c r="S65" s="245"/>
      <c r="T65" s="719"/>
      <c r="U65" s="719"/>
      <c r="V65" s="719"/>
      <c r="W65" s="245"/>
      <c r="X65" s="220"/>
      <c r="Y65" s="221"/>
      <c r="Z65" s="220"/>
      <c r="AA65" s="220"/>
      <c r="AB65" s="221"/>
      <c r="AC65" s="56" t="s">
        <v>487</v>
      </c>
      <c r="AD65" s="345">
        <f t="shared" si="75"/>
        <v>6</v>
      </c>
      <c r="AE65" s="67"/>
      <c r="AF65" s="120"/>
      <c r="AG65" s="120"/>
      <c r="AH65" s="205">
        <v>6</v>
      </c>
      <c r="AI65" s="60"/>
      <c r="AJ65" s="239"/>
      <c r="AK65" s="9"/>
      <c r="AL65" s="81"/>
      <c r="AM65" s="81"/>
      <c r="AN65" s="81"/>
      <c r="AO65" s="81"/>
      <c r="AP65" s="81"/>
      <c r="AQ65" s="60"/>
      <c r="AR65" s="79"/>
      <c r="AS65" s="81"/>
      <c r="AT65" s="60"/>
      <c r="AU65" s="56"/>
      <c r="AV65" s="56"/>
      <c r="AW65" s="56"/>
      <c r="AX65" s="56"/>
      <c r="AY65" s="115"/>
      <c r="AZ65" s="115"/>
      <c r="BA65" s="100"/>
      <c r="BB65" s="216">
        <v>43005</v>
      </c>
      <c r="BC65" s="102"/>
      <c r="BD65" s="102"/>
      <c r="BE65" s="216"/>
      <c r="BF65" s="102"/>
      <c r="BG65" s="172"/>
      <c r="BH65" s="215"/>
      <c r="BI65" s="172"/>
      <c r="BJ65" s="172"/>
      <c r="BK65" s="103"/>
      <c r="BL65" s="200">
        <f t="shared" si="130"/>
        <v>731</v>
      </c>
      <c r="BM65" s="200">
        <f t="shared" si="131"/>
        <v>1096</v>
      </c>
      <c r="BN65" s="200"/>
      <c r="BO65" s="172"/>
      <c r="BP65" s="175"/>
      <c r="BQ65" s="103"/>
      <c r="BR65" s="104"/>
      <c r="BS65" s="104"/>
      <c r="BT65" s="104"/>
      <c r="BU65" s="170"/>
      <c r="BV65" s="174"/>
      <c r="BW65" s="268"/>
      <c r="BX65" s="169"/>
      <c r="BY65" s="174"/>
      <c r="BZ65" s="268"/>
      <c r="CA65" s="268"/>
      <c r="CB65" s="450"/>
      <c r="CC65" s="682"/>
      <c r="CD65" s="509"/>
      <c r="CE65" s="384">
        <v>43191</v>
      </c>
      <c r="CF65" s="377"/>
      <c r="CG65" s="494">
        <f t="shared" si="76"/>
        <v>6.2</v>
      </c>
      <c r="CH65" s="262">
        <v>12</v>
      </c>
      <c r="CI65" s="262">
        <f t="shared" si="100"/>
        <v>13</v>
      </c>
      <c r="CJ65" s="257">
        <f t="shared" si="77"/>
        <v>12</v>
      </c>
      <c r="CK65" s="257">
        <f t="shared" si="78"/>
        <v>13</v>
      </c>
      <c r="CL65" s="257">
        <f t="shared" si="79"/>
        <v>0</v>
      </c>
      <c r="CM65" s="257">
        <f t="shared" si="80"/>
        <v>0</v>
      </c>
      <c r="CN65" s="263"/>
      <c r="CO65" s="263">
        <f t="shared" si="104"/>
        <v>0</v>
      </c>
      <c r="CP65" s="258"/>
      <c r="CQ65" s="699">
        <f t="shared" si="81"/>
        <v>43556</v>
      </c>
      <c r="CR65" s="391">
        <f t="shared" si="140"/>
        <v>43556</v>
      </c>
      <c r="CS65" s="388">
        <f t="shared" si="114"/>
        <v>731</v>
      </c>
      <c r="CT65" s="258"/>
      <c r="CU65" s="258"/>
      <c r="CV65" s="651">
        <f t="shared" si="132"/>
        <v>43586</v>
      </c>
      <c r="CW65" s="506">
        <f t="shared" si="152"/>
        <v>43586</v>
      </c>
      <c r="CX65" s="654"/>
      <c r="CY65" s="123"/>
      <c r="CZ65" s="127"/>
      <c r="DA65" s="127"/>
      <c r="DB65" s="127"/>
      <c r="DC65" s="127"/>
      <c r="DD65" s="127"/>
      <c r="DE65" s="56"/>
      <c r="DF65" s="56"/>
      <c r="DG65" s="56"/>
      <c r="DH65" s="56"/>
      <c r="DI65" s="56"/>
      <c r="DJ65" s="56"/>
      <c r="DK65" s="56"/>
      <c r="DL65" s="56"/>
      <c r="DM65" s="56"/>
      <c r="DN65" s="56"/>
      <c r="DO65" s="56"/>
      <c r="DP65" s="56"/>
      <c r="DQ65" s="56"/>
      <c r="DR65" s="56"/>
      <c r="DS65" s="343">
        <v>42649</v>
      </c>
      <c r="DT65" s="128"/>
      <c r="DU65" s="128"/>
      <c r="DV65" s="589" t="str">
        <f t="shared" si="82"/>
        <v>0</v>
      </c>
      <c r="DW65" s="128">
        <v>42901</v>
      </c>
      <c r="DX65" s="128">
        <v>42884</v>
      </c>
      <c r="DY65" s="589">
        <f t="shared" si="83"/>
        <v>-17</v>
      </c>
      <c r="DZ65" s="343">
        <v>42814</v>
      </c>
      <c r="EA65" s="343">
        <v>42881</v>
      </c>
      <c r="EB65" s="589">
        <f t="shared" si="84"/>
        <v>67</v>
      </c>
      <c r="EC65" s="613">
        <v>42972</v>
      </c>
      <c r="ED65" s="610">
        <f ca="1">IF(EC65&lt;TODAY(),TODAY(),EC65)</f>
        <v>43163</v>
      </c>
      <c r="EE65" s="615">
        <f t="shared" ca="1" si="85"/>
        <v>191</v>
      </c>
      <c r="EF65" s="613">
        <v>42972</v>
      </c>
      <c r="EG65" s="613">
        <f t="shared" ca="1" si="153"/>
        <v>43163</v>
      </c>
      <c r="EH65" s="615">
        <f t="shared" ca="1" si="86"/>
        <v>191</v>
      </c>
      <c r="EI65" s="618"/>
      <c r="EJ65" s="605">
        <v>43074</v>
      </c>
      <c r="EK65" s="600">
        <f t="shared" ca="1" si="154"/>
        <v>43163</v>
      </c>
      <c r="EL65" s="596">
        <f t="shared" ca="1" si="87"/>
        <v>89</v>
      </c>
      <c r="EM65" s="605">
        <v>43081</v>
      </c>
      <c r="EN65" s="600">
        <f t="shared" ca="1" si="155"/>
        <v>43163</v>
      </c>
      <c r="EO65" s="596">
        <f t="shared" ca="1" si="88"/>
        <v>82</v>
      </c>
      <c r="EP65" s="594"/>
      <c r="EQ65" s="600">
        <f t="shared" ca="1" si="134"/>
        <v>43163</v>
      </c>
      <c r="ER65" s="596" t="str">
        <f t="shared" ca="1" si="89"/>
        <v>0</v>
      </c>
      <c r="ES65" s="594"/>
      <c r="ET65" s="622">
        <f t="shared" ca="1" si="135"/>
        <v>43163</v>
      </c>
      <c r="EU65" s="597" t="str">
        <f t="shared" ca="1" si="90"/>
        <v>0</v>
      </c>
      <c r="EV65" s="600"/>
      <c r="EW65" s="600">
        <f t="shared" ca="1" si="136"/>
        <v>43163</v>
      </c>
      <c r="EX65" s="596" t="str">
        <f t="shared" ca="1" si="91"/>
        <v>0</v>
      </c>
      <c r="EY65" s="594"/>
      <c r="EZ65" s="600">
        <f t="shared" ca="1" si="123"/>
        <v>43163</v>
      </c>
      <c r="FA65" s="596" t="str">
        <f t="shared" ca="1" si="92"/>
        <v>0</v>
      </c>
      <c r="FB65" s="600"/>
      <c r="FC65" s="600">
        <f t="shared" ca="1" si="141"/>
        <v>43163</v>
      </c>
      <c r="FD65" s="596" t="str">
        <f t="shared" ca="1" si="93"/>
        <v>0</v>
      </c>
      <c r="FE65" s="600"/>
      <c r="FF65" s="600">
        <f t="shared" ca="1" si="142"/>
        <v>43163</v>
      </c>
      <c r="FG65" s="596" t="str">
        <f t="shared" ca="1" si="94"/>
        <v>0</v>
      </c>
      <c r="FH65" s="600"/>
      <c r="FI65" s="600">
        <f t="shared" ca="1" si="143"/>
        <v>43163</v>
      </c>
      <c r="FJ65" s="596" t="str">
        <f t="shared" ca="1" si="95"/>
        <v>0</v>
      </c>
      <c r="FK65" s="600"/>
      <c r="FL65" s="600"/>
      <c r="FM65" s="600"/>
      <c r="FN65" s="600">
        <v>43811</v>
      </c>
      <c r="FO65" s="600">
        <f t="shared" si="111"/>
        <v>43556</v>
      </c>
      <c r="FP65" s="598">
        <f t="shared" ca="1" si="144"/>
        <v>21.6</v>
      </c>
      <c r="FQ65" s="600">
        <v>43840</v>
      </c>
      <c r="FR65" s="600">
        <f t="shared" si="112"/>
        <v>43586</v>
      </c>
      <c r="FS65" s="627">
        <v>0</v>
      </c>
      <c r="FT65" s="627">
        <v>0</v>
      </c>
      <c r="FU65" s="627"/>
      <c r="FV65" s="627"/>
      <c r="FW65" s="628">
        <f t="shared" ca="1" si="96"/>
        <v>20.100000000000001</v>
      </c>
      <c r="FX65" s="628">
        <f t="shared" si="120"/>
        <v>-8.4666666666666668</v>
      </c>
      <c r="FY65" s="624"/>
      <c r="FZ65" s="641"/>
      <c r="GA65" s="641" t="s">
        <v>874</v>
      </c>
      <c r="GB65" s="624" t="s">
        <v>834</v>
      </c>
      <c r="GC65" s="118"/>
      <c r="GD65" s="118"/>
      <c r="GE65" s="426">
        <f>+GO65+GS65+GZ65+HT65+HE65+HD65</f>
        <v>0</v>
      </c>
      <c r="GF65" s="426">
        <f>GP65+GT65+GY65+HA65+HE65</f>
        <v>0</v>
      </c>
      <c r="GG65" s="427"/>
      <c r="GH65" s="427" t="e">
        <f t="shared" si="145"/>
        <v>#DIV/0!</v>
      </c>
      <c r="GI65" s="427">
        <f t="shared" si="146"/>
        <v>0</v>
      </c>
      <c r="GJ65" s="426"/>
      <c r="GK65" s="426"/>
      <c r="GL65" s="427"/>
      <c r="GM65" s="112"/>
      <c r="GN65" s="112"/>
      <c r="GO65" s="691"/>
      <c r="GP65" s="427"/>
      <c r="GQ65" s="427">
        <f t="shared" si="147"/>
        <v>0</v>
      </c>
      <c r="GR65" s="426">
        <f t="shared" si="156"/>
        <v>0</v>
      </c>
      <c r="GS65" s="752"/>
      <c r="GT65" s="426"/>
      <c r="GU65" s="426"/>
      <c r="GV65" s="426"/>
      <c r="GW65" s="427"/>
      <c r="GX65" s="427">
        <f t="shared" si="148"/>
        <v>0</v>
      </c>
      <c r="GY65" s="426"/>
      <c r="GZ65" s="426"/>
      <c r="HA65" s="427"/>
      <c r="HB65" s="426"/>
      <c r="HC65" s="428" t="e">
        <f t="shared" si="149"/>
        <v>#DIV/0!</v>
      </c>
      <c r="HD65" s="426"/>
      <c r="HE65" s="426"/>
      <c r="HF65" s="427">
        <f t="shared" si="139"/>
        <v>0</v>
      </c>
      <c r="HG65" s="427">
        <f t="shared" si="150"/>
        <v>0</v>
      </c>
      <c r="HH65" s="429">
        <f t="shared" si="151"/>
        <v>0</v>
      </c>
      <c r="HI65" s="427">
        <f t="shared" si="118"/>
        <v>0</v>
      </c>
      <c r="HJ65" s="430"/>
      <c r="HK65" s="430"/>
      <c r="HL65" s="426"/>
      <c r="HM65" s="426"/>
      <c r="HN65" s="427">
        <f t="shared" si="137"/>
        <v>0</v>
      </c>
      <c r="HO65" s="426"/>
      <c r="HP65" s="427">
        <f>(GP65+GZ65+HM65+HO65)/AD65</f>
        <v>0</v>
      </c>
      <c r="HQ65" s="112" t="e">
        <f t="shared" si="138"/>
        <v>#DIV/0!</v>
      </c>
      <c r="HR65" s="426"/>
      <c r="HS65" s="426"/>
      <c r="HT65" s="426"/>
      <c r="HU65" s="431">
        <f t="shared" si="157"/>
        <v>0</v>
      </c>
      <c r="HV65" s="296"/>
      <c r="HW65" s="296">
        <f t="shared" si="99"/>
        <v>0</v>
      </c>
      <c r="HX65" s="297"/>
      <c r="HY65" s="300">
        <v>0</v>
      </c>
      <c r="HZ65" s="300"/>
      <c r="IA65" s="288"/>
      <c r="IB65" s="288"/>
      <c r="IC65" s="519">
        <v>0</v>
      </c>
      <c r="ID65" s="288"/>
      <c r="IE65" s="293">
        <v>0</v>
      </c>
      <c r="IF65" s="281"/>
      <c r="IG65" s="523"/>
      <c r="IH65" s="298"/>
      <c r="II65" s="303"/>
      <c r="IJ65" s="301"/>
      <c r="IK65" s="301"/>
      <c r="IL65" s="295"/>
      <c r="IM65" s="300"/>
      <c r="IN65" s="295"/>
      <c r="IO65" s="300"/>
      <c r="IP65" s="326"/>
      <c r="IQ65" s="326"/>
      <c r="IR65" s="326"/>
      <c r="IS65" s="326"/>
      <c r="IT65" s="289"/>
      <c r="IU65" s="289"/>
      <c r="IV65" s="289"/>
      <c r="IW65" s="289"/>
      <c r="IX65" s="289"/>
      <c r="IY65" s="289"/>
      <c r="IZ65" s="300" t="e">
        <f>$IZ$1*HV65</f>
        <v>#VALUE!</v>
      </c>
      <c r="JA65" s="123"/>
      <c r="JB65" s="298"/>
      <c r="JC65" s="123"/>
      <c r="JD65" s="123"/>
      <c r="JE65" s="298"/>
    </row>
    <row r="66" spans="1:265" ht="24.95" customHeight="1">
      <c r="A66" s="101" t="s">
        <v>258</v>
      </c>
      <c r="B66" s="57" t="s">
        <v>34</v>
      </c>
      <c r="C66" s="57" t="s">
        <v>118</v>
      </c>
      <c r="D66" s="57">
        <v>2017</v>
      </c>
      <c r="E66" s="57" t="s">
        <v>168</v>
      </c>
      <c r="F66" s="57" t="s">
        <v>565</v>
      </c>
      <c r="G66" s="56" t="s">
        <v>190</v>
      </c>
      <c r="H66" s="57" t="s">
        <v>185</v>
      </c>
      <c r="I66" s="57" t="s">
        <v>125</v>
      </c>
      <c r="J66" s="57" t="s">
        <v>415</v>
      </c>
      <c r="K66" s="218" t="s">
        <v>703</v>
      </c>
      <c r="L66" s="178" t="s">
        <v>65</v>
      </c>
      <c r="M66" s="179" t="s">
        <v>149</v>
      </c>
      <c r="N66" s="180"/>
      <c r="O66" s="224">
        <v>4113</v>
      </c>
      <c r="P66" s="224">
        <v>205650</v>
      </c>
      <c r="Q66" s="224">
        <v>189641</v>
      </c>
      <c r="R66" s="219">
        <f>P66/AD66</f>
        <v>10823.684210526315</v>
      </c>
      <c r="S66" s="224">
        <f>P66/O66</f>
        <v>50</v>
      </c>
      <c r="T66" s="225">
        <f>Q66/O66</f>
        <v>46.107707269632868</v>
      </c>
      <c r="U66" s="225">
        <f>Q66/AJ66</f>
        <v>114.25189023104498</v>
      </c>
      <c r="V66" s="225">
        <f>Q66/AD66</f>
        <v>9981.105263157895</v>
      </c>
      <c r="W66" s="219">
        <f>O66/AD66</f>
        <v>216.47368421052633</v>
      </c>
      <c r="X66" s="226"/>
      <c r="Y66" s="227">
        <f>AJ66/O66</f>
        <v>0.40356187697544371</v>
      </c>
      <c r="Z66" s="226" t="s">
        <v>215</v>
      </c>
      <c r="AA66" s="232"/>
      <c r="AB66" s="228"/>
      <c r="AC66" s="57" t="s">
        <v>16</v>
      </c>
      <c r="AD66" s="345">
        <f t="shared" ref="AD66:AD77" si="158">SUM(AE66:AH66)</f>
        <v>19</v>
      </c>
      <c r="AE66" s="277"/>
      <c r="AF66" s="57">
        <v>19</v>
      </c>
      <c r="AG66" s="57"/>
      <c r="AH66" s="57"/>
      <c r="AI66" s="61">
        <v>1680.48</v>
      </c>
      <c r="AJ66" s="95">
        <v>1659.85</v>
      </c>
      <c r="AK66" s="60">
        <f>AJ66/AD66</f>
        <v>87.360526315789471</v>
      </c>
      <c r="AL66" s="63"/>
      <c r="AM66" s="63"/>
      <c r="AN66" s="82">
        <f>3/AD66</f>
        <v>0.15789473684210525</v>
      </c>
      <c r="AO66" s="82">
        <f>12/AF66</f>
        <v>0.63157894736842102</v>
      </c>
      <c r="AP66" s="82">
        <f>4/AF66</f>
        <v>0.21052631578947367</v>
      </c>
      <c r="AQ66" s="61"/>
      <c r="AR66" s="80"/>
      <c r="AS66" s="82">
        <f>AR66/O66</f>
        <v>0</v>
      </c>
      <c r="AT66" s="61">
        <v>1.5</v>
      </c>
      <c r="AU66" s="59" t="s">
        <v>621</v>
      </c>
      <c r="AV66" s="57"/>
      <c r="AW66" s="313" t="s">
        <v>578</v>
      </c>
      <c r="AX66" s="252">
        <v>42475</v>
      </c>
      <c r="AY66" s="115" t="s">
        <v>261</v>
      </c>
      <c r="AZ66" s="115" t="s">
        <v>298</v>
      </c>
      <c r="BA66" s="100"/>
      <c r="BB66" s="216">
        <v>43014</v>
      </c>
      <c r="BC66" s="102">
        <v>43045</v>
      </c>
      <c r="BD66" s="102"/>
      <c r="BE66" s="216"/>
      <c r="BF66" s="102"/>
      <c r="BG66" s="172"/>
      <c r="BH66" s="215"/>
      <c r="BI66" s="172"/>
      <c r="BJ66" s="172"/>
      <c r="BK66" s="103"/>
      <c r="BL66" s="200">
        <f t="shared" si="130"/>
        <v>731</v>
      </c>
      <c r="BM66" s="200">
        <f t="shared" si="131"/>
        <v>1096</v>
      </c>
      <c r="BN66" s="200"/>
      <c r="BO66" s="172"/>
      <c r="BP66" s="177"/>
      <c r="BQ66" s="103"/>
      <c r="BR66" s="104"/>
      <c r="BS66" s="104"/>
      <c r="BT66" s="104"/>
      <c r="BU66" s="170" t="s">
        <v>149</v>
      </c>
      <c r="BV66" s="268" t="s">
        <v>273</v>
      </c>
      <c r="BW66" s="268"/>
      <c r="BX66" s="169"/>
      <c r="BY66" s="268" t="e">
        <f>DATE(YEAR(BV66),MONTH(BV66)+18,DAY(BV66))</f>
        <v>#VALUE!</v>
      </c>
      <c r="BZ66" s="268"/>
      <c r="CA66" s="268"/>
      <c r="CB66" s="268" t="s">
        <v>177</v>
      </c>
      <c r="CC66" s="682"/>
      <c r="CD66" s="509"/>
      <c r="CE66" s="384">
        <v>43361</v>
      </c>
      <c r="CF66" s="377"/>
      <c r="CG66" s="494">
        <f t="shared" ref="CG66:CG99" si="159">(DATEDIF(BB66,CE66,"d"))/30</f>
        <v>11.566666666666666</v>
      </c>
      <c r="CH66" s="262">
        <v>18</v>
      </c>
      <c r="CI66" s="262">
        <f t="shared" si="100"/>
        <v>19</v>
      </c>
      <c r="CJ66" s="257">
        <f t="shared" ref="CJ66:CJ99" si="160">DATEDIF(CE66,CR66,"M")</f>
        <v>18</v>
      </c>
      <c r="CK66" s="257">
        <f t="shared" ref="CK66:CK99" si="161">DATEDIF(CE66,CW66,"M")</f>
        <v>19</v>
      </c>
      <c r="CL66" s="257">
        <f t="shared" ref="CL66:CL77" si="162">DATEDIF(CQ66,CR66,"M")</f>
        <v>0</v>
      </c>
      <c r="CM66" s="257">
        <f t="shared" ref="CM66:CM99" si="163">CK66-CI66</f>
        <v>0</v>
      </c>
      <c r="CN66" s="263"/>
      <c r="CO66" s="263">
        <f t="shared" si="104"/>
        <v>0</v>
      </c>
      <c r="CP66" s="258"/>
      <c r="CQ66" s="699">
        <f t="shared" ref="CQ66:CQ77" si="164">DATE(YEAR(CE66),MONTH(CE66)+CH66,DAY(CE66))</f>
        <v>43908</v>
      </c>
      <c r="CR66" s="446">
        <f t="shared" si="140"/>
        <v>43908</v>
      </c>
      <c r="CS66" s="458">
        <f t="shared" si="114"/>
        <v>731</v>
      </c>
      <c r="CT66" s="198"/>
      <c r="CU66" s="123"/>
      <c r="CV66" s="650">
        <f t="shared" si="132"/>
        <v>43939</v>
      </c>
      <c r="CW66" s="446">
        <f t="shared" si="152"/>
        <v>43939</v>
      </c>
      <c r="CX66" s="647"/>
      <c r="CY66" s="123"/>
      <c r="CZ66" s="129"/>
      <c r="DA66" s="129"/>
      <c r="DB66" s="129"/>
      <c r="DC66" s="129"/>
      <c r="DD66" s="129"/>
      <c r="DE66" s="57"/>
      <c r="DF66" s="57"/>
      <c r="DG66" s="57"/>
      <c r="DH66" s="57"/>
      <c r="DI66" s="57"/>
      <c r="DJ66" s="57"/>
      <c r="DK66" s="57"/>
      <c r="DL66" s="57"/>
      <c r="DM66" s="57"/>
      <c r="DN66" s="57"/>
      <c r="DO66" s="57"/>
      <c r="DP66" s="57"/>
      <c r="DQ66" s="57"/>
      <c r="DR66" s="57"/>
      <c r="DS66" s="343">
        <v>41576</v>
      </c>
      <c r="DT66" s="128">
        <v>41593</v>
      </c>
      <c r="DU66" s="128">
        <v>41576</v>
      </c>
      <c r="DV66" s="589">
        <f t="shared" ref="DV66:DV72" si="165">IF(AND(DT66&gt;0,DU66&gt;0),DU66-DT66,"0")</f>
        <v>-17</v>
      </c>
      <c r="DW66" s="128">
        <v>42055</v>
      </c>
      <c r="DX66" s="128">
        <v>42041</v>
      </c>
      <c r="DY66" s="589">
        <f t="shared" ref="DY66:DY77" si="166">IF(AND(DW66&gt;0,DX66&gt;0),DX66-DW66,"0")</f>
        <v>-14</v>
      </c>
      <c r="DZ66" s="343">
        <v>42090</v>
      </c>
      <c r="EA66" s="343">
        <v>42254</v>
      </c>
      <c r="EB66" s="589">
        <f t="shared" ref="EB66:EB77" si="167">IF(AND(DZ66&gt;0,EA66&gt;0),EA66-DZ66,"0")</f>
        <v>164</v>
      </c>
      <c r="EC66" s="613">
        <v>43140</v>
      </c>
      <c r="ED66" s="610">
        <f ca="1">IF(EC66&lt;TODAY(),TODAY(),EC66)</f>
        <v>43163</v>
      </c>
      <c r="EE66" s="615">
        <f t="shared" ref="EE66:EE77" ca="1" si="168">IF(AND(EC66&gt;0,ED66&gt;0),ED66-EC66,"0")</f>
        <v>23</v>
      </c>
      <c r="EF66" s="613">
        <v>43129</v>
      </c>
      <c r="EG66" s="613">
        <f t="shared" ca="1" si="153"/>
        <v>43163</v>
      </c>
      <c r="EH66" s="615">
        <f t="shared" ref="EH66:EH77" ca="1" si="169">IF(AND(EF66&gt;0,EG66&gt;0),EG66-EF66,"0")</f>
        <v>34</v>
      </c>
      <c r="EI66" s="614"/>
      <c r="EJ66" s="605">
        <v>43346</v>
      </c>
      <c r="EK66" s="600">
        <f t="shared" ca="1" si="154"/>
        <v>43346</v>
      </c>
      <c r="EL66" s="596">
        <f t="shared" ref="EL66:EL77" ca="1" si="170">IF(AND(EJ66&gt;0,EK66&gt;0),EK66-EJ66,"0")</f>
        <v>0</v>
      </c>
      <c r="EM66" s="605">
        <v>43361</v>
      </c>
      <c r="EN66" s="600">
        <f t="shared" ca="1" si="155"/>
        <v>43361</v>
      </c>
      <c r="EO66" s="596">
        <f t="shared" ref="EO66:EO77" ca="1" si="171">IF(AND(EM66&gt;0,EN66&gt;0),EN66-EM66,"0")</f>
        <v>0</v>
      </c>
      <c r="EP66" s="594"/>
      <c r="EQ66" s="600">
        <f t="shared" ca="1" si="134"/>
        <v>43163</v>
      </c>
      <c r="ER66" s="596" t="str">
        <f t="shared" ref="ER66:ER77" ca="1" si="172">IF(AND(EP66&gt;0,EQ66&gt;0),EQ66-EP66,"0")</f>
        <v>0</v>
      </c>
      <c r="ES66" s="594"/>
      <c r="ET66" s="622">
        <f t="shared" ca="1" si="135"/>
        <v>43163</v>
      </c>
      <c r="EU66" s="597" t="str">
        <f t="shared" ref="EU66:EU77" ca="1" si="173">IF(AND(ES66&gt;0,ET66&gt;0),ET66-ES66,"0")</f>
        <v>0</v>
      </c>
      <c r="EV66" s="600"/>
      <c r="EW66" s="600">
        <f t="shared" ca="1" si="136"/>
        <v>43163</v>
      </c>
      <c r="EX66" s="596" t="str">
        <f t="shared" ref="EX66:EX77" ca="1" si="174">IF(AND(EV66&gt;0,EW66&gt;0),EW66-EV66,"0")</f>
        <v>0</v>
      </c>
      <c r="EY66" s="594"/>
      <c r="EZ66" s="600">
        <f t="shared" ca="1" si="123"/>
        <v>43163</v>
      </c>
      <c r="FA66" s="596" t="str">
        <f t="shared" ref="FA66:FA77" ca="1" si="175">IF(AND(EY66&gt;0,EZ66&gt;0),EZ66-EY66,"0")</f>
        <v>0</v>
      </c>
      <c r="FB66" s="600"/>
      <c r="FC66" s="600">
        <f t="shared" ca="1" si="141"/>
        <v>43163</v>
      </c>
      <c r="FD66" s="596" t="str">
        <f t="shared" ref="FD66:FD77" ca="1" si="176">IF(AND(FB66&gt;0,FC66&gt;0),FC66-FB66,"0")</f>
        <v>0</v>
      </c>
      <c r="FE66" s="600"/>
      <c r="FF66" s="600">
        <f t="shared" ca="1" si="142"/>
        <v>43163</v>
      </c>
      <c r="FG66" s="596" t="str">
        <f t="shared" ref="FG66:FG77" ca="1" si="177">IF(AND(FE66&gt;0,FF66&gt;0),FF66-FE66,"0")</f>
        <v>0</v>
      </c>
      <c r="FH66" s="600"/>
      <c r="FI66" s="600">
        <f t="shared" ca="1" si="143"/>
        <v>43163</v>
      </c>
      <c r="FJ66" s="596" t="str">
        <f t="shared" ref="FJ66:FJ77" ca="1" si="178">IF(AND(FH66&gt;0,FI66&gt;0),FI66-FH66,"0")</f>
        <v>0</v>
      </c>
      <c r="FK66" s="600"/>
      <c r="FL66" s="600"/>
      <c r="FM66" s="600"/>
      <c r="FN66" s="600">
        <v>43901</v>
      </c>
      <c r="FO66" s="600">
        <f t="shared" si="111"/>
        <v>43908</v>
      </c>
      <c r="FP66" s="598">
        <f t="shared" ca="1" si="144"/>
        <v>18</v>
      </c>
      <c r="FQ66" s="600">
        <v>43931</v>
      </c>
      <c r="FR66" s="600">
        <f t="shared" si="112"/>
        <v>43939</v>
      </c>
      <c r="FS66" s="627">
        <v>190000</v>
      </c>
      <c r="FT66" s="627">
        <v>190000</v>
      </c>
      <c r="FU66" s="627"/>
      <c r="FV66" s="627"/>
      <c r="FW66" s="628">
        <f t="shared" ref="FW66:FW77" ca="1" si="179">(DV66+DY66+EB66+EE66+EH66+EL66+EO66)/30</f>
        <v>6.333333333333333</v>
      </c>
      <c r="FX66" s="628">
        <f t="shared" si="120"/>
        <v>0.26666666666666666</v>
      </c>
      <c r="FY66" s="624"/>
      <c r="FZ66" s="641"/>
      <c r="GA66" s="641"/>
      <c r="GB66" s="624"/>
      <c r="GC66" s="118"/>
      <c r="GD66" s="118"/>
      <c r="GE66" s="96">
        <f>+GO66+GS66+GZ66+HT66+HE66</f>
        <v>3724917</v>
      </c>
      <c r="GF66" s="70">
        <f>GP66+GT66+HA66+HT66+HB66+HE66</f>
        <v>3724917.85</v>
      </c>
      <c r="GG66" s="96">
        <f>GF66-GE66</f>
        <v>0.85000000009313226</v>
      </c>
      <c r="GH66" s="96">
        <f t="shared" si="145"/>
        <v>2216.5791916595258</v>
      </c>
      <c r="GI66" s="329">
        <f t="shared" si="146"/>
        <v>196048.26315789475</v>
      </c>
      <c r="GJ66" s="96">
        <v>3147257.0568200001</v>
      </c>
      <c r="GK66" s="96">
        <f>GJ66</f>
        <v>3147257.0568200001</v>
      </c>
      <c r="GL66" s="96">
        <f>GK66-GJ66</f>
        <v>0</v>
      </c>
      <c r="GM66" s="96">
        <f>GK66*1.021/GF66</f>
        <v>0.86266317390414926</v>
      </c>
      <c r="GN66" s="329">
        <v>0.39750000000000002</v>
      </c>
      <c r="GO66" s="96">
        <v>1080509</v>
      </c>
      <c r="GP66" s="70">
        <v>1134685.53</v>
      </c>
      <c r="GQ66" s="96">
        <f t="shared" si="147"/>
        <v>56868.894736842107</v>
      </c>
      <c r="GR66" s="96">
        <f t="shared" si="156"/>
        <v>54176.530000000028</v>
      </c>
      <c r="GS66" s="448">
        <v>1954408</v>
      </c>
      <c r="GT66" s="70">
        <f>GU66+GV66</f>
        <v>1900232.32</v>
      </c>
      <c r="GU66" s="90">
        <v>421720.5</v>
      </c>
      <c r="GV66" s="90">
        <v>1478511.82</v>
      </c>
      <c r="GW66" s="96">
        <f>GT66-GS66</f>
        <v>-54175.679999999935</v>
      </c>
      <c r="GX66" s="329">
        <f t="shared" si="148"/>
        <v>102863.57894736843</v>
      </c>
      <c r="GY66" s="96"/>
      <c r="GZ66" s="96">
        <v>500000</v>
      </c>
      <c r="HA66" s="70">
        <f>GZ66</f>
        <v>500000</v>
      </c>
      <c r="HB66" s="96"/>
      <c r="HC66" s="329">
        <f t="shared" si="149"/>
        <v>0.1342311788423742</v>
      </c>
      <c r="HD66" s="426"/>
      <c r="HE66" s="70">
        <v>0</v>
      </c>
      <c r="HF66" s="92">
        <f t="shared" si="139"/>
        <v>0</v>
      </c>
      <c r="HG66" s="52">
        <f t="shared" si="150"/>
        <v>26315.78947368421</v>
      </c>
      <c r="HH66" s="84">
        <f t="shared" si="151"/>
        <v>83184.68421052632</v>
      </c>
      <c r="HI66" s="92">
        <f t="shared" si="118"/>
        <v>0</v>
      </c>
      <c r="HJ66" s="279">
        <v>5.14</v>
      </c>
      <c r="HK66" s="279">
        <v>5.12</v>
      </c>
      <c r="HL66" s="94">
        <v>837039.04799999995</v>
      </c>
      <c r="HM66" s="94">
        <v>380000</v>
      </c>
      <c r="HN66" s="52">
        <f t="shared" si="137"/>
        <v>103184.68421052632</v>
      </c>
      <c r="HO66" s="94">
        <v>237556.40000000002</v>
      </c>
      <c r="HP66" s="52">
        <f>(GP66+HA66+HM66+HO66)/AD66</f>
        <v>118539.04894736843</v>
      </c>
      <c r="HQ66" s="53">
        <f t="shared" si="138"/>
        <v>0.50071226129380131</v>
      </c>
      <c r="HR66" s="94">
        <v>172078.72739999997</v>
      </c>
      <c r="HS66" s="94"/>
      <c r="HT66" s="70">
        <v>190000</v>
      </c>
      <c r="HU66" s="99">
        <f t="shared" si="157"/>
        <v>4561956.0480000004</v>
      </c>
      <c r="HV66" s="296">
        <v>184741</v>
      </c>
      <c r="HW66" s="296">
        <f t="shared" ref="HW66:HW77" si="180">HY66+IA66+IC66+IE66+IG66+II66+IK66+IM66+IO66+IQ66+IS66+IU66+IW66+IY66+JA66+JC66+JE66</f>
        <v>66507</v>
      </c>
      <c r="HX66" s="119">
        <v>41677</v>
      </c>
      <c r="HY66" s="245">
        <v>15217</v>
      </c>
      <c r="HZ66" s="245"/>
      <c r="IA66" s="119"/>
      <c r="IB66" s="119">
        <v>42247</v>
      </c>
      <c r="IC66" s="245">
        <v>7608</v>
      </c>
      <c r="ID66" s="119"/>
      <c r="IE66" s="245">
        <v>15217</v>
      </c>
      <c r="IF66" s="119">
        <v>43082</v>
      </c>
      <c r="IG66" s="245">
        <v>28465</v>
      </c>
      <c r="IH66" s="120"/>
      <c r="II66" s="350"/>
      <c r="IJ66" s="341"/>
      <c r="IK66" s="341"/>
      <c r="IL66" s="295"/>
      <c r="IM66" s="300"/>
      <c r="IN66" s="295"/>
      <c r="IO66" s="300"/>
      <c r="IP66" s="326"/>
      <c r="IQ66" s="326"/>
      <c r="IR66" s="326"/>
      <c r="IS66" s="326"/>
      <c r="IT66" s="289"/>
      <c r="IU66" s="289"/>
      <c r="IV66" s="289"/>
      <c r="IW66" s="289"/>
      <c r="IX66" s="289"/>
      <c r="IY66" s="289"/>
      <c r="IZ66" s="245">
        <v>15217</v>
      </c>
      <c r="JA66" s="123"/>
      <c r="JB66" s="298"/>
      <c r="JC66" s="123"/>
      <c r="JD66" s="123"/>
      <c r="JE66" s="298"/>
    </row>
    <row r="67" spans="1:265" ht="24.95" customHeight="1">
      <c r="A67" s="89" t="s">
        <v>831</v>
      </c>
      <c r="B67" s="56" t="s">
        <v>277</v>
      </c>
      <c r="C67" s="56" t="s">
        <v>119</v>
      </c>
      <c r="D67" s="56">
        <v>2017</v>
      </c>
      <c r="E67" s="56" t="s">
        <v>456</v>
      </c>
      <c r="F67" s="56" t="s">
        <v>423</v>
      </c>
      <c r="G67" s="56" t="s">
        <v>697</v>
      </c>
      <c r="H67" s="56" t="s">
        <v>184</v>
      </c>
      <c r="I67" s="56"/>
      <c r="J67" s="56" t="s">
        <v>448</v>
      </c>
      <c r="K67" s="275" t="s">
        <v>715</v>
      </c>
      <c r="L67" s="178"/>
      <c r="M67" s="179"/>
      <c r="N67" s="180"/>
      <c r="O67" s="219">
        <v>5443</v>
      </c>
      <c r="P67" s="219">
        <v>381010</v>
      </c>
      <c r="Q67" s="231">
        <v>381010</v>
      </c>
      <c r="R67" s="219">
        <f>P67/AD67</f>
        <v>18143.333333333332</v>
      </c>
      <c r="S67" s="225">
        <f>P67/O67</f>
        <v>70</v>
      </c>
      <c r="T67" s="231">
        <f>Q67/O67</f>
        <v>70</v>
      </c>
      <c r="U67" s="231">
        <f>Q67/AJ67</f>
        <v>238.72208716573519</v>
      </c>
      <c r="V67" s="231">
        <f>Q67/AD67</f>
        <v>18143.333333333332</v>
      </c>
      <c r="W67" s="219">
        <f>O67/AD67</f>
        <v>259.1904761904762</v>
      </c>
      <c r="X67" s="220"/>
      <c r="Y67" s="221">
        <f>AJ67/O67</f>
        <v>0.29322799926511117</v>
      </c>
      <c r="Z67" s="220"/>
      <c r="AA67" s="220">
        <v>900</v>
      </c>
      <c r="AB67" s="221"/>
      <c r="AC67" s="56" t="s">
        <v>16</v>
      </c>
      <c r="AD67" s="345">
        <f t="shared" si="158"/>
        <v>21</v>
      </c>
      <c r="AE67" s="67"/>
      <c r="AF67" s="56">
        <v>21</v>
      </c>
      <c r="AG67" s="56"/>
      <c r="AH67" s="56"/>
      <c r="AI67" s="60">
        <v>1580.35</v>
      </c>
      <c r="AJ67" s="95">
        <v>1596.04</v>
      </c>
      <c r="AK67" s="60">
        <f>AJ67/AD67</f>
        <v>76.001904761904754</v>
      </c>
      <c r="AL67" s="81"/>
      <c r="AM67" s="81"/>
      <c r="AN67" s="81"/>
      <c r="AO67" s="81"/>
      <c r="AP67" s="81"/>
      <c r="AQ67" s="60"/>
      <c r="AR67" s="79"/>
      <c r="AS67" s="81"/>
      <c r="AT67" s="60"/>
      <c r="AU67" s="56" t="s">
        <v>620</v>
      </c>
      <c r="AV67" s="56"/>
      <c r="AW67" s="252">
        <v>42761</v>
      </c>
      <c r="AX67" s="56"/>
      <c r="AY67" s="115"/>
      <c r="AZ67" s="115"/>
      <c r="BA67" s="100"/>
      <c r="BB67" s="216">
        <v>43017</v>
      </c>
      <c r="BC67" s="102">
        <v>43045</v>
      </c>
      <c r="BD67" s="102"/>
      <c r="BE67" s="216"/>
      <c r="BF67" s="102"/>
      <c r="BG67" s="172">
        <v>43042</v>
      </c>
      <c r="BH67" s="215"/>
      <c r="BI67" s="172"/>
      <c r="BJ67" s="172"/>
      <c r="BK67" s="103"/>
      <c r="BL67" s="200">
        <f t="shared" si="130"/>
        <v>731</v>
      </c>
      <c r="BM67" s="200">
        <f t="shared" si="131"/>
        <v>1096</v>
      </c>
      <c r="BN67" s="200"/>
      <c r="BO67" s="172"/>
      <c r="BP67" s="177"/>
      <c r="BQ67" s="103"/>
      <c r="BR67" s="104"/>
      <c r="BS67" s="104"/>
      <c r="BT67" s="104"/>
      <c r="BU67" s="170"/>
      <c r="BV67" s="268"/>
      <c r="BW67" s="268"/>
      <c r="BX67" s="169"/>
      <c r="BY67" s="268">
        <f>DATE(YEAR(BV67),MONTH(BV67)+18,DAY(BV67))</f>
        <v>547</v>
      </c>
      <c r="BZ67" s="268"/>
      <c r="CA67" s="268"/>
      <c r="CB67" s="268" t="s">
        <v>177</v>
      </c>
      <c r="CC67" s="682"/>
      <c r="CD67" s="509"/>
      <c r="CE67" s="384">
        <v>43248</v>
      </c>
      <c r="CF67" s="377"/>
      <c r="CG67" s="494">
        <f t="shared" si="159"/>
        <v>7.7</v>
      </c>
      <c r="CH67" s="262">
        <v>16</v>
      </c>
      <c r="CI67" s="262">
        <f t="shared" ref="CI67:CI77" si="181">CH67+1</f>
        <v>17</v>
      </c>
      <c r="CJ67" s="257">
        <f t="shared" si="160"/>
        <v>16</v>
      </c>
      <c r="CK67" s="257">
        <f t="shared" si="161"/>
        <v>17</v>
      </c>
      <c r="CL67" s="257">
        <f t="shared" si="162"/>
        <v>0</v>
      </c>
      <c r="CM67" s="257">
        <f t="shared" si="163"/>
        <v>0</v>
      </c>
      <c r="CN67" s="263"/>
      <c r="CO67" s="263">
        <f t="shared" si="104"/>
        <v>0</v>
      </c>
      <c r="CP67" s="258"/>
      <c r="CQ67" s="699">
        <f t="shared" si="164"/>
        <v>43736</v>
      </c>
      <c r="CR67" s="391">
        <f t="shared" si="140"/>
        <v>43736</v>
      </c>
      <c r="CS67" s="388">
        <f t="shared" si="114"/>
        <v>731</v>
      </c>
      <c r="CT67" s="258"/>
      <c r="CU67" s="258"/>
      <c r="CV67" s="650">
        <f t="shared" si="132"/>
        <v>43766</v>
      </c>
      <c r="CW67" s="506">
        <f t="shared" si="152"/>
        <v>43766</v>
      </c>
      <c r="CX67" s="654"/>
      <c r="CY67" s="123"/>
      <c r="CZ67" s="127"/>
      <c r="DA67" s="127"/>
      <c r="DB67" s="127"/>
      <c r="DC67" s="127"/>
      <c r="DD67" s="127"/>
      <c r="DE67" s="56"/>
      <c r="DF67" s="56"/>
      <c r="DG67" s="56"/>
      <c r="DH67" s="56"/>
      <c r="DI67" s="56"/>
      <c r="DJ67" s="56"/>
      <c r="DK67" s="56"/>
      <c r="DL67" s="56"/>
      <c r="DM67" s="56"/>
      <c r="DN67" s="56"/>
      <c r="DO67" s="56"/>
      <c r="DP67" s="56"/>
      <c r="DQ67" s="56"/>
      <c r="DR67" s="56"/>
      <c r="DS67" s="343">
        <v>42585</v>
      </c>
      <c r="DT67" s="128">
        <v>42600</v>
      </c>
      <c r="DU67" s="128">
        <v>42585</v>
      </c>
      <c r="DV67" s="589">
        <f t="shared" si="165"/>
        <v>-15</v>
      </c>
      <c r="DW67" s="128">
        <v>42740</v>
      </c>
      <c r="DX67" s="128">
        <v>42751</v>
      </c>
      <c r="DY67" s="589">
        <f t="shared" si="166"/>
        <v>11</v>
      </c>
      <c r="DZ67" s="343">
        <v>42751</v>
      </c>
      <c r="EA67" s="343">
        <v>42744</v>
      </c>
      <c r="EB67" s="589">
        <f t="shared" si="167"/>
        <v>-7</v>
      </c>
      <c r="EC67" s="128">
        <v>42803</v>
      </c>
      <c r="ED67" s="128">
        <v>42837</v>
      </c>
      <c r="EE67" s="589">
        <f t="shared" si="168"/>
        <v>34</v>
      </c>
      <c r="EF67" s="128">
        <v>42895</v>
      </c>
      <c r="EG67" s="128">
        <v>42947</v>
      </c>
      <c r="EH67" s="589">
        <f t="shared" si="169"/>
        <v>52</v>
      </c>
      <c r="EI67" s="620"/>
      <c r="EJ67" s="605">
        <v>43144</v>
      </c>
      <c r="EK67" s="600">
        <f t="shared" ca="1" si="154"/>
        <v>43163</v>
      </c>
      <c r="EL67" s="596">
        <f t="shared" ca="1" si="170"/>
        <v>19</v>
      </c>
      <c r="EM67" s="605">
        <v>43159</v>
      </c>
      <c r="EN67" s="600">
        <f t="shared" ca="1" si="155"/>
        <v>43163</v>
      </c>
      <c r="EO67" s="596">
        <f t="shared" ca="1" si="171"/>
        <v>4</v>
      </c>
      <c r="EP67" s="594"/>
      <c r="EQ67" s="600">
        <f t="shared" ca="1" si="134"/>
        <v>43163</v>
      </c>
      <c r="ER67" s="596" t="str">
        <f t="shared" ca="1" si="172"/>
        <v>0</v>
      </c>
      <c r="ES67" s="594"/>
      <c r="ET67" s="622">
        <f t="shared" ca="1" si="135"/>
        <v>43163</v>
      </c>
      <c r="EU67" s="597" t="str">
        <f t="shared" ca="1" si="173"/>
        <v>0</v>
      </c>
      <c r="EV67" s="600"/>
      <c r="EW67" s="600">
        <f t="shared" ca="1" si="136"/>
        <v>43163</v>
      </c>
      <c r="EX67" s="596" t="str">
        <f t="shared" ca="1" si="174"/>
        <v>0</v>
      </c>
      <c r="EY67" s="605"/>
      <c r="EZ67" s="600">
        <f t="shared" ca="1" si="123"/>
        <v>43163</v>
      </c>
      <c r="FA67" s="596" t="str">
        <f t="shared" ca="1" si="175"/>
        <v>0</v>
      </c>
      <c r="FB67" s="600"/>
      <c r="FC67" s="600">
        <f t="shared" ca="1" si="141"/>
        <v>43163</v>
      </c>
      <c r="FD67" s="596" t="str">
        <f t="shared" ca="1" si="176"/>
        <v>0</v>
      </c>
      <c r="FE67" s="600"/>
      <c r="FF67" s="600">
        <f t="shared" ca="1" si="142"/>
        <v>43163</v>
      </c>
      <c r="FG67" s="596" t="str">
        <f t="shared" ca="1" si="177"/>
        <v>0</v>
      </c>
      <c r="FH67" s="600"/>
      <c r="FI67" s="600">
        <f t="shared" ca="1" si="143"/>
        <v>43163</v>
      </c>
      <c r="FJ67" s="596" t="str">
        <f t="shared" ca="1" si="178"/>
        <v>0</v>
      </c>
      <c r="FK67" s="600"/>
      <c r="FL67" s="600"/>
      <c r="FM67" s="600"/>
      <c r="FN67" s="600">
        <v>43637</v>
      </c>
      <c r="FO67" s="600">
        <f t="shared" si="111"/>
        <v>43736</v>
      </c>
      <c r="FP67" s="598">
        <f t="shared" ca="1" si="144"/>
        <v>15.8</v>
      </c>
      <c r="FQ67" s="600">
        <v>43669</v>
      </c>
      <c r="FR67" s="600">
        <f t="shared" si="112"/>
        <v>43766</v>
      </c>
      <c r="FS67" s="627">
        <v>200000</v>
      </c>
      <c r="FT67" s="627">
        <v>200000</v>
      </c>
      <c r="FU67" s="627"/>
      <c r="FV67" s="627"/>
      <c r="FW67" s="628">
        <f t="shared" ca="1" si="179"/>
        <v>3.2666666666666666</v>
      </c>
      <c r="FX67" s="628">
        <f t="shared" si="120"/>
        <v>3.2333333333333334</v>
      </c>
      <c r="FY67" s="624"/>
      <c r="FZ67" s="641"/>
      <c r="GA67" s="641"/>
      <c r="GB67" s="641" t="s">
        <v>880</v>
      </c>
      <c r="GC67" s="118"/>
      <c r="GD67" s="118"/>
      <c r="GE67" s="96">
        <f>+GO67+GS67+GZ67+HT67+HE67</f>
        <v>3874931.87</v>
      </c>
      <c r="GF67" s="70">
        <f>GP67+GT67+HA67+HT67+HB67+HE67</f>
        <v>3876686</v>
      </c>
      <c r="GG67" s="96">
        <f>GF67-GE67</f>
        <v>1754.1299999998882</v>
      </c>
      <c r="GH67" s="96">
        <f t="shared" si="145"/>
        <v>2451.9453728604426</v>
      </c>
      <c r="GI67" s="329">
        <f t="shared" si="146"/>
        <v>184520.56523809524</v>
      </c>
      <c r="GJ67" s="96"/>
      <c r="GK67" s="96">
        <v>3634508</v>
      </c>
      <c r="GL67" s="96">
        <f>GK67-GJ67</f>
        <v>3634508</v>
      </c>
      <c r="GM67" s="96">
        <f>GK67*1.021/GF67</f>
        <v>0.95721775454602198</v>
      </c>
      <c r="GN67" s="329"/>
      <c r="GO67" s="96">
        <v>1246192.3500000001</v>
      </c>
      <c r="GP67" s="70">
        <v>1210563</v>
      </c>
      <c r="GQ67" s="96">
        <f t="shared" si="147"/>
        <v>59342.492857142861</v>
      </c>
      <c r="GR67" s="96">
        <f t="shared" si="156"/>
        <v>-35629.350000000093</v>
      </c>
      <c r="GS67" s="448">
        <v>1810436.52</v>
      </c>
      <c r="GT67" s="70">
        <f>GU67+GV67</f>
        <v>1847820</v>
      </c>
      <c r="GU67" s="90">
        <v>588152</v>
      </c>
      <c r="GV67" s="90">
        <v>1259668</v>
      </c>
      <c r="GW67" s="96">
        <f>GT67-GS67</f>
        <v>37383.479999999981</v>
      </c>
      <c r="GX67" s="329">
        <f t="shared" si="148"/>
        <v>86211.262857142865</v>
      </c>
      <c r="GY67" s="96"/>
      <c r="GZ67" s="96">
        <v>504000</v>
      </c>
      <c r="HA67" s="70">
        <v>504000</v>
      </c>
      <c r="HB67" s="96"/>
      <c r="HC67" s="329">
        <f t="shared" si="149"/>
        <v>0.1300668029551704</v>
      </c>
      <c r="HD67" s="426"/>
      <c r="HE67" s="70">
        <v>114303</v>
      </c>
      <c r="HF67" s="92">
        <f t="shared" si="139"/>
        <v>0</v>
      </c>
      <c r="HG67" s="23">
        <f t="shared" si="150"/>
        <v>24000</v>
      </c>
      <c r="HH67" s="84">
        <f t="shared" si="151"/>
        <v>83342.492857142861</v>
      </c>
      <c r="HI67" s="92">
        <f t="shared" si="118"/>
        <v>0</v>
      </c>
      <c r="HJ67" s="93">
        <v>5.35</v>
      </c>
      <c r="HK67" s="93">
        <v>5.34</v>
      </c>
      <c r="HL67" s="94"/>
      <c r="HM67" s="94"/>
      <c r="HN67" s="52">
        <f t="shared" si="137"/>
        <v>83342.492857142861</v>
      </c>
      <c r="HO67" s="94"/>
      <c r="HP67" s="52">
        <f>(GP67+HA67+HM67+HO67)/AD67</f>
        <v>81645.857142857145</v>
      </c>
      <c r="HQ67" s="53">
        <f t="shared" si="138"/>
        <v>0.45167048317677905</v>
      </c>
      <c r="HR67" s="94"/>
      <c r="HS67" s="94"/>
      <c r="HT67" s="70">
        <v>200000</v>
      </c>
      <c r="HU67" s="99">
        <f t="shared" si="157"/>
        <v>3874931.87</v>
      </c>
      <c r="HV67" s="296">
        <v>191612</v>
      </c>
      <c r="HW67" s="296">
        <f t="shared" si="180"/>
        <v>105386</v>
      </c>
      <c r="HX67" s="119">
        <v>42579</v>
      </c>
      <c r="HY67" s="245">
        <v>17147</v>
      </c>
      <c r="HZ67" s="245"/>
      <c r="IA67" s="344"/>
      <c r="IB67" s="344">
        <v>42716</v>
      </c>
      <c r="IC67" s="342">
        <v>0</v>
      </c>
      <c r="ID67" s="344">
        <v>42716</v>
      </c>
      <c r="IE67" s="245">
        <v>28305</v>
      </c>
      <c r="IF67" s="119">
        <v>42818</v>
      </c>
      <c r="IG67" s="245">
        <v>21612</v>
      </c>
      <c r="IH67" s="120">
        <v>42915</v>
      </c>
      <c r="II67" s="350">
        <v>28742</v>
      </c>
      <c r="IJ67" s="341"/>
      <c r="IK67" s="341"/>
      <c r="IL67" s="295">
        <v>42989</v>
      </c>
      <c r="IM67" s="304">
        <v>9580</v>
      </c>
      <c r="IN67" s="295"/>
      <c r="IO67" s="300"/>
      <c r="IP67" s="326"/>
      <c r="IQ67" s="326"/>
      <c r="IR67" s="326"/>
      <c r="IS67" s="326"/>
      <c r="IT67" s="289"/>
      <c r="IU67" s="289"/>
      <c r="IV67" s="289"/>
      <c r="IW67" s="289"/>
      <c r="IX67" s="289"/>
      <c r="IY67" s="289"/>
      <c r="IZ67" s="342">
        <v>28305</v>
      </c>
      <c r="JA67" s="251"/>
      <c r="JB67" s="120"/>
      <c r="JC67" s="251"/>
      <c r="JD67" s="251"/>
      <c r="JE67" s="120"/>
    </row>
    <row r="68" spans="1:265" ht="24.95" customHeight="1">
      <c r="A68" s="89" t="s">
        <v>675</v>
      </c>
      <c r="B68" s="56" t="s">
        <v>107</v>
      </c>
      <c r="C68" s="56" t="s">
        <v>119</v>
      </c>
      <c r="D68" s="56">
        <v>2017</v>
      </c>
      <c r="E68" s="56" t="s">
        <v>616</v>
      </c>
      <c r="F68" s="56" t="s">
        <v>423</v>
      </c>
      <c r="G68" s="56" t="s">
        <v>697</v>
      </c>
      <c r="H68" s="56" t="s">
        <v>182</v>
      </c>
      <c r="I68" s="56"/>
      <c r="J68" s="56" t="s">
        <v>481</v>
      </c>
      <c r="K68" s="275"/>
      <c r="L68" s="178"/>
      <c r="M68" s="179"/>
      <c r="N68" s="180"/>
      <c r="O68" s="219">
        <v>3474</v>
      </c>
      <c r="P68" s="219">
        <v>1</v>
      </c>
      <c r="Q68" s="219"/>
      <c r="R68" s="219">
        <f>P68/AD68</f>
        <v>5.0000000000000001E-3</v>
      </c>
      <c r="S68" s="219">
        <f>P68/O68</f>
        <v>2.878526194588371E-4</v>
      </c>
      <c r="T68" s="225">
        <f>Q68/O68</f>
        <v>0</v>
      </c>
      <c r="U68" s="225">
        <f>Q68/AJ68</f>
        <v>0</v>
      </c>
      <c r="V68" s="225">
        <f>Q68/AD68</f>
        <v>0</v>
      </c>
      <c r="W68" s="219">
        <f>O68/AD68</f>
        <v>17.37</v>
      </c>
      <c r="X68" s="220"/>
      <c r="Y68" s="221">
        <f>AJ68/O68</f>
        <v>1.166076568796776</v>
      </c>
      <c r="Z68" s="220"/>
      <c r="AA68" s="220">
        <v>70</v>
      </c>
      <c r="AB68" s="221"/>
      <c r="AC68" s="56" t="s">
        <v>480</v>
      </c>
      <c r="AD68" s="345">
        <f t="shared" si="158"/>
        <v>200</v>
      </c>
      <c r="AE68" s="67"/>
      <c r="AF68" s="120"/>
      <c r="AG68" s="56">
        <v>200</v>
      </c>
      <c r="AH68" s="120"/>
      <c r="AI68" s="60">
        <v>4327.3599999999997</v>
      </c>
      <c r="AJ68" s="95">
        <v>4050.95</v>
      </c>
      <c r="AK68" s="60" t="s">
        <v>642</v>
      </c>
      <c r="AL68" s="81"/>
      <c r="AM68" s="81"/>
      <c r="AN68" s="81"/>
      <c r="AO68" s="81"/>
      <c r="AP68" s="81"/>
      <c r="AQ68" s="60"/>
      <c r="AR68" s="194"/>
      <c r="AS68" s="112"/>
      <c r="AT68" s="60"/>
      <c r="AU68" s="59" t="s">
        <v>621</v>
      </c>
      <c r="AV68" s="56" t="s">
        <v>125</v>
      </c>
      <c r="AW68" s="56"/>
      <c r="AX68" s="56"/>
      <c r="AY68" s="115"/>
      <c r="AZ68" s="115"/>
      <c r="BA68" s="100"/>
      <c r="BB68" s="216">
        <v>43024</v>
      </c>
      <c r="BC68" s="102"/>
      <c r="BD68" s="102"/>
      <c r="BE68" s="216"/>
      <c r="BF68" s="102"/>
      <c r="BG68" s="172"/>
      <c r="BH68" s="215"/>
      <c r="BI68" s="172"/>
      <c r="BJ68" s="172"/>
      <c r="BK68" s="103"/>
      <c r="BL68" s="200">
        <f t="shared" si="130"/>
        <v>731</v>
      </c>
      <c r="BM68" s="200">
        <f t="shared" si="131"/>
        <v>1096</v>
      </c>
      <c r="BN68" s="200"/>
      <c r="BO68" s="172"/>
      <c r="BP68" s="177"/>
      <c r="BQ68" s="103"/>
      <c r="BR68" s="104"/>
      <c r="BS68" s="104"/>
      <c r="BT68" s="104"/>
      <c r="BU68" s="170"/>
      <c r="BV68" s="268"/>
      <c r="BW68" s="268"/>
      <c r="BX68" s="169"/>
      <c r="BY68" s="268"/>
      <c r="BZ68" s="268"/>
      <c r="CA68" s="268"/>
      <c r="CB68" s="268">
        <v>43693</v>
      </c>
      <c r="CC68" s="681">
        <f>(CW68-CB68)/30</f>
        <v>0</v>
      </c>
      <c r="CD68" s="509"/>
      <c r="CE68" s="492">
        <v>43091</v>
      </c>
      <c r="CF68" s="493">
        <v>2017</v>
      </c>
      <c r="CG68" s="499">
        <f t="shared" si="159"/>
        <v>2.2333333333333334</v>
      </c>
      <c r="CH68" s="273">
        <v>18</v>
      </c>
      <c r="CI68" s="273">
        <f t="shared" si="181"/>
        <v>19</v>
      </c>
      <c r="CJ68" s="257">
        <f t="shared" si="160"/>
        <v>18</v>
      </c>
      <c r="CK68" s="257">
        <f t="shared" si="161"/>
        <v>19</v>
      </c>
      <c r="CL68" s="257">
        <f t="shared" si="162"/>
        <v>0</v>
      </c>
      <c r="CM68" s="257">
        <f t="shared" si="163"/>
        <v>0</v>
      </c>
      <c r="CN68" s="263"/>
      <c r="CO68" s="263">
        <f t="shared" si="104"/>
        <v>0</v>
      </c>
      <c r="CP68" s="258"/>
      <c r="CQ68" s="699">
        <f t="shared" si="164"/>
        <v>43638</v>
      </c>
      <c r="CR68" s="391">
        <f t="shared" si="140"/>
        <v>43638</v>
      </c>
      <c r="CS68" s="388">
        <f t="shared" si="114"/>
        <v>731</v>
      </c>
      <c r="CT68" s="258"/>
      <c r="CU68" s="258"/>
      <c r="CV68" s="650">
        <f t="shared" si="132"/>
        <v>43668</v>
      </c>
      <c r="CW68" s="506">
        <v>43693</v>
      </c>
      <c r="CX68" s="654"/>
      <c r="CY68" s="123"/>
      <c r="CZ68" s="127"/>
      <c r="DA68" s="127"/>
      <c r="DB68" s="127"/>
      <c r="DC68" s="127"/>
      <c r="DD68" s="127"/>
      <c r="DE68" s="56"/>
      <c r="DF68" s="56"/>
      <c r="DG68" s="56"/>
      <c r="DH68" s="56"/>
      <c r="DI68" s="56"/>
      <c r="DJ68" s="56"/>
      <c r="DK68" s="56"/>
      <c r="DL68" s="56"/>
      <c r="DM68" s="56"/>
      <c r="DN68" s="56"/>
      <c r="DO68" s="56"/>
      <c r="DP68" s="56"/>
      <c r="DQ68" s="56"/>
      <c r="DR68" s="56"/>
      <c r="DS68" s="485"/>
      <c r="DT68" s="128"/>
      <c r="DU68" s="128"/>
      <c r="DV68" s="589" t="str">
        <f t="shared" si="165"/>
        <v>0</v>
      </c>
      <c r="DW68" s="128">
        <v>42772</v>
      </c>
      <c r="DX68" s="128">
        <v>42871</v>
      </c>
      <c r="DY68" s="589">
        <f t="shared" si="166"/>
        <v>99</v>
      </c>
      <c r="DZ68" s="343"/>
      <c r="EA68" s="343"/>
      <c r="EB68" s="589" t="str">
        <f t="shared" si="167"/>
        <v>0</v>
      </c>
      <c r="EC68" s="128"/>
      <c r="ED68" s="128"/>
      <c r="EE68" s="589" t="str">
        <f t="shared" si="168"/>
        <v>0</v>
      </c>
      <c r="EF68" s="128"/>
      <c r="EG68" s="128"/>
      <c r="EH68" s="589" t="str">
        <f t="shared" si="169"/>
        <v>0</v>
      </c>
      <c r="EI68" s="486"/>
      <c r="EJ68" s="343">
        <v>42887</v>
      </c>
      <c r="EK68" s="128">
        <v>43096</v>
      </c>
      <c r="EL68" s="589">
        <f t="shared" si="170"/>
        <v>209</v>
      </c>
      <c r="EM68" s="343">
        <v>42901</v>
      </c>
      <c r="EN68" s="128">
        <v>43091</v>
      </c>
      <c r="EO68" s="589">
        <f t="shared" si="171"/>
        <v>190</v>
      </c>
      <c r="EP68" s="594"/>
      <c r="EQ68" s="600">
        <f t="shared" ca="1" si="134"/>
        <v>43163</v>
      </c>
      <c r="ER68" s="596" t="str">
        <f t="shared" ca="1" si="172"/>
        <v>0</v>
      </c>
      <c r="ES68" s="594"/>
      <c r="ET68" s="622">
        <f t="shared" ca="1" si="135"/>
        <v>43163</v>
      </c>
      <c r="EU68" s="597" t="str">
        <f t="shared" ca="1" si="173"/>
        <v>0</v>
      </c>
      <c r="EV68" s="600"/>
      <c r="EW68" s="600">
        <f t="shared" ca="1" si="136"/>
        <v>43163</v>
      </c>
      <c r="EX68" s="596" t="str">
        <f t="shared" ca="1" si="174"/>
        <v>0</v>
      </c>
      <c r="EY68" s="600"/>
      <c r="EZ68" s="600">
        <f t="shared" ca="1" si="123"/>
        <v>43163</v>
      </c>
      <c r="FA68" s="596" t="str">
        <f t="shared" ca="1" si="175"/>
        <v>0</v>
      </c>
      <c r="FB68" s="600"/>
      <c r="FC68" s="600">
        <f t="shared" ca="1" si="141"/>
        <v>43163</v>
      </c>
      <c r="FD68" s="596" t="str">
        <f t="shared" ca="1" si="176"/>
        <v>0</v>
      </c>
      <c r="FE68" s="600"/>
      <c r="FF68" s="600">
        <f t="shared" ca="1" si="142"/>
        <v>43163</v>
      </c>
      <c r="FG68" s="596" t="str">
        <f t="shared" ca="1" si="177"/>
        <v>0</v>
      </c>
      <c r="FH68" s="600"/>
      <c r="FI68" s="600">
        <f t="shared" ca="1" si="143"/>
        <v>43163</v>
      </c>
      <c r="FJ68" s="596" t="str">
        <f t="shared" ca="1" si="178"/>
        <v>0</v>
      </c>
      <c r="FK68" s="600"/>
      <c r="FL68" s="600"/>
      <c r="FM68" s="600"/>
      <c r="FN68" s="600">
        <v>43693</v>
      </c>
      <c r="FO68" s="600">
        <f t="shared" si="111"/>
        <v>43638</v>
      </c>
      <c r="FP68" s="598">
        <f t="shared" si="144"/>
        <v>20.066666666666666</v>
      </c>
      <c r="FQ68" s="600">
        <v>43696</v>
      </c>
      <c r="FR68" s="600">
        <f t="shared" si="112"/>
        <v>43693</v>
      </c>
      <c r="FS68" s="627">
        <v>0</v>
      </c>
      <c r="FT68" s="627">
        <v>0</v>
      </c>
      <c r="FU68" s="627"/>
      <c r="FV68" s="627"/>
      <c r="FW68" s="628">
        <f t="shared" si="179"/>
        <v>16.600000000000001</v>
      </c>
      <c r="FX68" s="628">
        <f t="shared" si="120"/>
        <v>-0.1</v>
      </c>
      <c r="FY68" s="624"/>
      <c r="FZ68" s="641"/>
      <c r="GA68" s="624"/>
      <c r="GB68" s="624"/>
      <c r="GC68" s="118"/>
      <c r="GD68" s="118"/>
      <c r="GE68" s="307">
        <f>+GO68+GS68+GZ68+HT68+HE68</f>
        <v>15377280.710000001</v>
      </c>
      <c r="GF68" s="70">
        <f>GP68+GT68+HA68+HT68+HB68+HE68</f>
        <v>11616559.710000001</v>
      </c>
      <c r="GG68" s="97">
        <f>GF68-GE68</f>
        <v>-3760721</v>
      </c>
      <c r="GH68" s="52">
        <f t="shared" si="145"/>
        <v>3553.5016060600465</v>
      </c>
      <c r="GI68" s="52">
        <f t="shared" si="146"/>
        <v>76886.403550000003</v>
      </c>
      <c r="GJ68" s="96"/>
      <c r="GK68" s="70"/>
      <c r="GL68" s="97">
        <f>GK68-GJ68</f>
        <v>0</v>
      </c>
      <c r="GM68" s="138">
        <f>GK68*1.021/GF68</f>
        <v>0</v>
      </c>
      <c r="GN68" s="138"/>
      <c r="GO68" s="96">
        <v>0</v>
      </c>
      <c r="GP68" s="70">
        <v>3306813</v>
      </c>
      <c r="GQ68" s="52">
        <f t="shared" si="147"/>
        <v>0</v>
      </c>
      <c r="GR68" s="98">
        <f t="shared" si="156"/>
        <v>3306813</v>
      </c>
      <c r="GS68" s="751">
        <v>10921593</v>
      </c>
      <c r="GT68" s="70">
        <v>5854059</v>
      </c>
      <c r="GU68" s="426"/>
      <c r="GV68" s="426"/>
      <c r="GW68" s="98">
        <f>GT68-GS68</f>
        <v>-5067534</v>
      </c>
      <c r="GX68" s="52">
        <f t="shared" si="148"/>
        <v>54607.964999999997</v>
      </c>
      <c r="GY68" s="70"/>
      <c r="GZ68" s="96">
        <v>2000000</v>
      </c>
      <c r="HA68" s="70"/>
      <c r="HB68" s="70"/>
      <c r="HC68" s="91">
        <f t="shared" si="149"/>
        <v>0.13006200756284431</v>
      </c>
      <c r="HD68" s="426"/>
      <c r="HE68" s="70">
        <v>2455687.71</v>
      </c>
      <c r="HF68" s="92">
        <f t="shared" si="139"/>
        <v>-2000000</v>
      </c>
      <c r="HG68" s="23">
        <f t="shared" si="150"/>
        <v>10000</v>
      </c>
      <c r="HH68" s="84">
        <f t="shared" si="151"/>
        <v>10000</v>
      </c>
      <c r="HI68" s="92">
        <f t="shared" si="118"/>
        <v>-10000</v>
      </c>
      <c r="HJ68" s="93"/>
      <c r="HK68" s="93"/>
      <c r="HL68" s="94"/>
      <c r="HM68" s="94"/>
      <c r="HN68" s="52">
        <f t="shared" si="137"/>
        <v>10000</v>
      </c>
      <c r="HO68" s="94"/>
      <c r="HP68" s="52">
        <f>(GP68+HA68+HM68+HO68)/AD68</f>
        <v>16534.064999999999</v>
      </c>
      <c r="HQ68" s="53">
        <f t="shared" si="138"/>
        <v>0.13006200756284431</v>
      </c>
      <c r="HR68" s="94"/>
      <c r="HS68" s="94"/>
      <c r="HT68" s="70"/>
      <c r="HU68" s="99">
        <f t="shared" si="157"/>
        <v>15377280.710000001</v>
      </c>
      <c r="HV68" s="296">
        <v>364819</v>
      </c>
      <c r="HW68" s="296">
        <f t="shared" si="180"/>
        <v>182410</v>
      </c>
      <c r="HX68" s="252"/>
      <c r="HY68" s="360"/>
      <c r="HZ68" s="360"/>
      <c r="IA68" s="357"/>
      <c r="IB68" s="357">
        <v>42727</v>
      </c>
      <c r="IC68" s="360">
        <v>51495</v>
      </c>
      <c r="ID68" s="357">
        <v>42895</v>
      </c>
      <c r="IE68" s="361">
        <v>34330</v>
      </c>
      <c r="IF68" s="357">
        <v>43074</v>
      </c>
      <c r="IG68" s="361">
        <v>41862</v>
      </c>
      <c r="IH68" s="312"/>
      <c r="II68" s="362"/>
      <c r="IJ68" s="358"/>
      <c r="IK68" s="358"/>
      <c r="IL68" s="295"/>
      <c r="IM68" s="300"/>
      <c r="IN68" s="343">
        <v>43092</v>
      </c>
      <c r="IO68" s="342">
        <v>54723</v>
      </c>
      <c r="IP68" s="326"/>
      <c r="IQ68" s="326"/>
      <c r="IR68" s="326"/>
      <c r="IS68" s="326"/>
      <c r="IT68" s="289"/>
      <c r="IU68" s="289"/>
      <c r="IV68" s="289"/>
      <c r="IW68" s="289"/>
      <c r="IX68" s="289"/>
      <c r="IY68" s="289"/>
      <c r="IZ68" s="356">
        <v>34330</v>
      </c>
      <c r="JA68" s="123"/>
      <c r="JB68" s="298"/>
      <c r="JC68" s="123"/>
      <c r="JD68" s="123"/>
      <c r="JE68" s="298"/>
    </row>
    <row r="69" spans="1:265" ht="24.95" customHeight="1">
      <c r="A69" s="89" t="s">
        <v>676</v>
      </c>
      <c r="B69" s="56" t="s">
        <v>35</v>
      </c>
      <c r="C69" s="56" t="s">
        <v>117</v>
      </c>
      <c r="D69" s="56">
        <v>2017</v>
      </c>
      <c r="E69" s="56" t="s">
        <v>617</v>
      </c>
      <c r="F69" s="56" t="s">
        <v>423</v>
      </c>
      <c r="G69" s="7" t="s">
        <v>697</v>
      </c>
      <c r="H69" s="56" t="s">
        <v>185</v>
      </c>
      <c r="I69" s="56"/>
      <c r="J69" s="56" t="s">
        <v>482</v>
      </c>
      <c r="K69" s="275"/>
      <c r="L69" s="178"/>
      <c r="M69" s="179"/>
      <c r="N69" s="180"/>
      <c r="O69" s="219">
        <v>1952</v>
      </c>
      <c r="P69" s="219">
        <v>1</v>
      </c>
      <c r="Q69" s="219"/>
      <c r="R69" s="219">
        <f>P69/AD69</f>
        <v>0.01</v>
      </c>
      <c r="S69" s="219">
        <f>P69/O69</f>
        <v>5.1229508196721314E-4</v>
      </c>
      <c r="T69" s="225">
        <f>Q69/O69</f>
        <v>0</v>
      </c>
      <c r="U69" s="225">
        <f>Q69/AJ69</f>
        <v>0</v>
      </c>
      <c r="V69" s="225">
        <f>Q69/AD69</f>
        <v>0</v>
      </c>
      <c r="W69" s="219">
        <f>O69/AD69</f>
        <v>19.52</v>
      </c>
      <c r="X69" s="220"/>
      <c r="Y69" s="221">
        <f>AJ69/O69</f>
        <v>0.98538422131147541</v>
      </c>
      <c r="Z69" s="220"/>
      <c r="AA69" s="220">
        <v>500</v>
      </c>
      <c r="AB69" s="221"/>
      <c r="AC69" s="56" t="s">
        <v>480</v>
      </c>
      <c r="AD69" s="345">
        <f t="shared" si="158"/>
        <v>100</v>
      </c>
      <c r="AE69" s="67"/>
      <c r="AF69" s="120"/>
      <c r="AG69" s="56">
        <v>100</v>
      </c>
      <c r="AH69" s="120"/>
      <c r="AI69" s="60">
        <v>1868.31</v>
      </c>
      <c r="AJ69" s="95">
        <v>1923.47</v>
      </c>
      <c r="AK69" s="9">
        <f>AJ69/AD69</f>
        <v>19.2347</v>
      </c>
      <c r="AL69" s="81"/>
      <c r="AM69" s="81"/>
      <c r="AN69" s="81"/>
      <c r="AO69" s="81"/>
      <c r="AP69" s="81"/>
      <c r="AQ69" s="60"/>
      <c r="AR69" s="194"/>
      <c r="AS69" s="112"/>
      <c r="AT69" s="60"/>
      <c r="AU69" s="59" t="s">
        <v>621</v>
      </c>
      <c r="AV69" s="56" t="s">
        <v>125</v>
      </c>
      <c r="AW69" s="56"/>
      <c r="AX69" s="56"/>
      <c r="AY69" s="115"/>
      <c r="AZ69" s="115"/>
      <c r="BA69" s="100"/>
      <c r="BB69" s="216">
        <v>43024</v>
      </c>
      <c r="BC69" s="102">
        <v>43116</v>
      </c>
      <c r="BD69" s="102"/>
      <c r="BE69" s="216"/>
      <c r="BF69" s="102"/>
      <c r="BG69" s="172"/>
      <c r="BH69" s="215"/>
      <c r="BI69" s="172"/>
      <c r="BJ69" s="172">
        <v>43160</v>
      </c>
      <c r="BK69" s="103"/>
      <c r="BL69" s="200">
        <f t="shared" si="130"/>
        <v>731</v>
      </c>
      <c r="BM69" s="200">
        <f t="shared" si="131"/>
        <v>1096</v>
      </c>
      <c r="BN69" s="200"/>
      <c r="BO69" s="172"/>
      <c r="BP69" s="177"/>
      <c r="BQ69" s="103"/>
      <c r="BR69" s="104"/>
      <c r="BS69" s="104"/>
      <c r="BT69" s="104"/>
      <c r="BU69" s="170"/>
      <c r="BV69" s="268"/>
      <c r="BW69" s="268"/>
      <c r="BX69" s="169"/>
      <c r="BY69" s="268"/>
      <c r="BZ69" s="268"/>
      <c r="CA69" s="268"/>
      <c r="CB69" s="268"/>
      <c r="CC69" s="681">
        <f>(CW69-CB69)/30</f>
        <v>1456.4</v>
      </c>
      <c r="CD69" s="509"/>
      <c r="CE69" s="384">
        <v>43174</v>
      </c>
      <c r="CF69" s="377"/>
      <c r="CG69" s="494">
        <f t="shared" si="159"/>
        <v>5</v>
      </c>
      <c r="CH69" s="262">
        <v>16</v>
      </c>
      <c r="CI69" s="262">
        <f t="shared" si="181"/>
        <v>17</v>
      </c>
      <c r="CJ69" s="257">
        <f t="shared" si="160"/>
        <v>16</v>
      </c>
      <c r="CK69" s="257">
        <f t="shared" si="161"/>
        <v>17</v>
      </c>
      <c r="CL69" s="257">
        <f t="shared" si="162"/>
        <v>0</v>
      </c>
      <c r="CM69" s="257">
        <f t="shared" si="163"/>
        <v>0</v>
      </c>
      <c r="CN69" s="263"/>
      <c r="CO69" s="263">
        <f t="shared" ref="CO69:CO99" si="182">CN69*(CJ69-CH69)</f>
        <v>0</v>
      </c>
      <c r="CP69" s="258"/>
      <c r="CQ69" s="699">
        <f t="shared" si="164"/>
        <v>43661</v>
      </c>
      <c r="CR69" s="391">
        <f t="shared" si="140"/>
        <v>43661</v>
      </c>
      <c r="CS69" s="388">
        <f t="shared" si="114"/>
        <v>731</v>
      </c>
      <c r="CT69" s="258"/>
      <c r="CU69" s="258"/>
      <c r="CV69" s="650">
        <f t="shared" si="132"/>
        <v>43692</v>
      </c>
      <c r="CW69" s="506">
        <f>CV69</f>
        <v>43692</v>
      </c>
      <c r="CX69" s="654"/>
      <c r="CY69" s="123"/>
      <c r="CZ69" s="127"/>
      <c r="DA69" s="127"/>
      <c r="DB69" s="127"/>
      <c r="DC69" s="127"/>
      <c r="DD69" s="127"/>
      <c r="DE69" s="56"/>
      <c r="DF69" s="56"/>
      <c r="DG69" s="56"/>
      <c r="DH69" s="56"/>
      <c r="DI69" s="56"/>
      <c r="DJ69" s="56"/>
      <c r="DK69" s="56"/>
      <c r="DL69" s="56"/>
      <c r="DM69" s="56"/>
      <c r="DN69" s="56"/>
      <c r="DO69" s="56"/>
      <c r="DP69" s="56"/>
      <c r="DQ69" s="56"/>
      <c r="DR69" s="56"/>
      <c r="DS69" s="610"/>
      <c r="DT69" s="613"/>
      <c r="DU69" s="613"/>
      <c r="DV69" s="615" t="str">
        <f t="shared" si="165"/>
        <v>0</v>
      </c>
      <c r="DW69" s="613">
        <v>42775</v>
      </c>
      <c r="DX69" s="613">
        <v>42871</v>
      </c>
      <c r="DY69" s="615">
        <f t="shared" si="166"/>
        <v>96</v>
      </c>
      <c r="DZ69" s="613"/>
      <c r="EA69" s="613"/>
      <c r="EB69" s="615" t="str">
        <f t="shared" si="167"/>
        <v>0</v>
      </c>
      <c r="EC69" s="613"/>
      <c r="ED69" s="613"/>
      <c r="EE69" s="615" t="str">
        <f t="shared" si="168"/>
        <v>0</v>
      </c>
      <c r="EF69" s="613"/>
      <c r="EG69" s="613"/>
      <c r="EH69" s="615" t="str">
        <f t="shared" si="169"/>
        <v>0</v>
      </c>
      <c r="EI69" s="618"/>
      <c r="EJ69" s="594"/>
      <c r="EK69" s="600"/>
      <c r="EL69" s="596" t="str">
        <f t="shared" si="170"/>
        <v>0</v>
      </c>
      <c r="EM69" s="594"/>
      <c r="EN69" s="600">
        <f ca="1">IF(EM69&lt;TODAY(),TODAY(),EM69)</f>
        <v>43163</v>
      </c>
      <c r="EO69" s="596" t="str">
        <f t="shared" ca="1" si="171"/>
        <v>0</v>
      </c>
      <c r="EP69" s="594"/>
      <c r="EQ69" s="600">
        <f t="shared" ca="1" si="134"/>
        <v>43163</v>
      </c>
      <c r="ER69" s="596" t="str">
        <f t="shared" ca="1" si="172"/>
        <v>0</v>
      </c>
      <c r="ES69" s="594"/>
      <c r="ET69" s="622">
        <f t="shared" ca="1" si="135"/>
        <v>43163</v>
      </c>
      <c r="EU69" s="597" t="str">
        <f t="shared" ca="1" si="173"/>
        <v>0</v>
      </c>
      <c r="EV69" s="598"/>
      <c r="EW69" s="600">
        <f t="shared" ca="1" si="136"/>
        <v>43163</v>
      </c>
      <c r="EX69" s="596" t="str">
        <f t="shared" ca="1" si="174"/>
        <v>0</v>
      </c>
      <c r="EY69" s="600"/>
      <c r="EZ69" s="600">
        <f t="shared" ca="1" si="123"/>
        <v>43163</v>
      </c>
      <c r="FA69" s="596" t="str">
        <f t="shared" ca="1" si="175"/>
        <v>0</v>
      </c>
      <c r="FB69" s="600"/>
      <c r="FC69" s="600">
        <f t="shared" ca="1" si="141"/>
        <v>43163</v>
      </c>
      <c r="FD69" s="596" t="str">
        <f t="shared" ca="1" si="176"/>
        <v>0</v>
      </c>
      <c r="FE69" s="600"/>
      <c r="FF69" s="600">
        <f t="shared" ca="1" si="142"/>
        <v>43163</v>
      </c>
      <c r="FG69" s="596" t="str">
        <f t="shared" ca="1" si="177"/>
        <v>0</v>
      </c>
      <c r="FH69" s="600"/>
      <c r="FI69" s="600">
        <f t="shared" ca="1" si="143"/>
        <v>43163</v>
      </c>
      <c r="FJ69" s="596" t="str">
        <f t="shared" ca="1" si="178"/>
        <v>0</v>
      </c>
      <c r="FK69" s="600"/>
      <c r="FL69" s="600"/>
      <c r="FM69" s="600"/>
      <c r="FN69" s="600">
        <v>43149</v>
      </c>
      <c r="FO69" s="600">
        <f t="shared" si="111"/>
        <v>43661</v>
      </c>
      <c r="FP69" s="598" t="e">
        <f t="shared" ca="1" si="144"/>
        <v>#NUM!</v>
      </c>
      <c r="FQ69" s="600">
        <v>43696</v>
      </c>
      <c r="FR69" s="600">
        <f t="shared" si="112"/>
        <v>43692</v>
      </c>
      <c r="FS69" s="627">
        <v>0</v>
      </c>
      <c r="FT69" s="627">
        <v>0</v>
      </c>
      <c r="FU69" s="627"/>
      <c r="FV69" s="627"/>
      <c r="FW69" s="628">
        <f t="shared" ca="1" si="179"/>
        <v>3.2</v>
      </c>
      <c r="FX69" s="628">
        <f t="shared" si="120"/>
        <v>-0.13333333333333333</v>
      </c>
      <c r="FY69" s="624"/>
      <c r="FZ69" s="641"/>
      <c r="GA69" s="641"/>
      <c r="GB69" s="641" t="s">
        <v>877</v>
      </c>
      <c r="GC69" s="118"/>
      <c r="GD69" s="118"/>
      <c r="GE69" s="96">
        <f>+GO69+GS69+GZ69+HT69+HE69</f>
        <v>6236911</v>
      </c>
      <c r="GF69" s="70">
        <f>GP69+GT69+HA69+HT69+HB69+HE69</f>
        <v>6236911</v>
      </c>
      <c r="GG69" s="97">
        <f>GF69-GE69</f>
        <v>0</v>
      </c>
      <c r="GH69" s="52">
        <f t="shared" si="145"/>
        <v>3338.263457349155</v>
      </c>
      <c r="GI69" s="52">
        <f t="shared" si="146"/>
        <v>62369.11</v>
      </c>
      <c r="GJ69" s="96"/>
      <c r="GK69" s="70"/>
      <c r="GL69" s="97">
        <f>GK69-GJ69</f>
        <v>0</v>
      </c>
      <c r="GM69" s="138">
        <f>GK69*1.021/GF69</f>
        <v>0</v>
      </c>
      <c r="GN69" s="138">
        <v>0.4</v>
      </c>
      <c r="GO69" s="96">
        <v>1736993</v>
      </c>
      <c r="GP69" s="70">
        <v>1736993</v>
      </c>
      <c r="GQ69" s="52">
        <f t="shared" si="147"/>
        <v>17369.93</v>
      </c>
      <c r="GR69" s="98"/>
      <c r="GS69" s="750">
        <v>3189669</v>
      </c>
      <c r="GT69" s="70">
        <v>3189669</v>
      </c>
      <c r="GU69" s="426"/>
      <c r="GV69" s="426"/>
      <c r="GW69" s="98">
        <f>GT69-GS69</f>
        <v>0</v>
      </c>
      <c r="GX69" s="52">
        <f t="shared" si="148"/>
        <v>31896.69</v>
      </c>
      <c r="GY69" s="70"/>
      <c r="GZ69" s="96"/>
      <c r="HA69" s="70"/>
      <c r="HB69" s="70"/>
      <c r="HC69" s="91">
        <f t="shared" si="149"/>
        <v>0</v>
      </c>
      <c r="HD69" s="433"/>
      <c r="HE69" s="70">
        <v>1310249</v>
      </c>
      <c r="HF69" s="92">
        <f t="shared" si="139"/>
        <v>0</v>
      </c>
      <c r="HG69" s="23">
        <f t="shared" si="150"/>
        <v>0</v>
      </c>
      <c r="HH69" s="84">
        <f t="shared" si="151"/>
        <v>17369.93</v>
      </c>
      <c r="HI69" s="24">
        <f t="shared" si="118"/>
        <v>0</v>
      </c>
      <c r="HJ69" s="93">
        <v>6.31</v>
      </c>
      <c r="HK69" s="93"/>
      <c r="HL69" s="94"/>
      <c r="HM69" s="94"/>
      <c r="HN69" s="23">
        <f t="shared" si="137"/>
        <v>17369.93</v>
      </c>
      <c r="HO69" s="94"/>
      <c r="HP69" s="23">
        <f>(GP69+HA69+HM69+HO69)/AD69</f>
        <v>17369.93</v>
      </c>
      <c r="HQ69" s="53">
        <f t="shared" si="138"/>
        <v>0.27850213030136234</v>
      </c>
      <c r="HR69" s="94"/>
      <c r="HS69" s="94"/>
      <c r="HT69" s="70"/>
      <c r="HU69" s="42">
        <f t="shared" si="157"/>
        <v>6236911</v>
      </c>
      <c r="HV69" s="296">
        <v>196296</v>
      </c>
      <c r="HW69" s="296">
        <f t="shared" si="180"/>
        <v>68704</v>
      </c>
      <c r="HX69" s="252"/>
      <c r="HY69" s="360"/>
      <c r="HZ69" s="360"/>
      <c r="IA69" s="272"/>
      <c r="IB69" s="272"/>
      <c r="IC69" s="522"/>
      <c r="ID69" s="281">
        <v>42735</v>
      </c>
      <c r="IE69" s="293">
        <v>46179</v>
      </c>
      <c r="IF69" s="281">
        <v>43074</v>
      </c>
      <c r="IG69" s="523">
        <v>22525</v>
      </c>
      <c r="IH69" s="298"/>
      <c r="II69" s="303"/>
      <c r="IJ69" s="301"/>
      <c r="IK69" s="301"/>
      <c r="IL69" s="295"/>
      <c r="IM69" s="300"/>
      <c r="IN69" s="295"/>
      <c r="IO69" s="300"/>
      <c r="IP69" s="326"/>
      <c r="IQ69" s="326"/>
      <c r="IR69" s="326"/>
      <c r="IS69" s="326"/>
      <c r="IT69" s="289"/>
      <c r="IU69" s="289"/>
      <c r="IV69" s="289"/>
      <c r="IW69" s="289"/>
      <c r="IX69" s="289"/>
      <c r="IY69" s="289"/>
      <c r="IZ69" s="356">
        <v>46179</v>
      </c>
      <c r="JA69" s="123"/>
      <c r="JB69" s="298"/>
      <c r="JC69" s="123"/>
      <c r="JD69" s="123"/>
      <c r="JE69" s="298"/>
    </row>
    <row r="70" spans="1:265" ht="24.95" customHeight="1">
      <c r="A70" s="318" t="s">
        <v>496</v>
      </c>
      <c r="B70" s="56" t="s">
        <v>35</v>
      </c>
      <c r="C70" s="56" t="s">
        <v>117</v>
      </c>
      <c r="D70" s="56">
        <v>2017</v>
      </c>
      <c r="E70" s="56"/>
      <c r="F70" s="56" t="s">
        <v>488</v>
      </c>
      <c r="G70" s="56" t="s">
        <v>189</v>
      </c>
      <c r="H70" s="56" t="s">
        <v>185</v>
      </c>
      <c r="I70" s="56"/>
      <c r="J70" s="56" t="s">
        <v>497</v>
      </c>
      <c r="K70" s="275" t="s">
        <v>520</v>
      </c>
      <c r="L70" s="178" t="s">
        <v>64</v>
      </c>
      <c r="M70" s="179" t="s">
        <v>526</v>
      </c>
      <c r="N70" s="180">
        <v>34008</v>
      </c>
      <c r="O70" s="245"/>
      <c r="P70" s="245"/>
      <c r="Q70" s="245"/>
      <c r="R70" s="245"/>
      <c r="S70" s="245"/>
      <c r="T70" s="719"/>
      <c r="U70" s="719"/>
      <c r="V70" s="719"/>
      <c r="W70" s="245"/>
      <c r="X70" s="220"/>
      <c r="Y70" s="221"/>
      <c r="Z70" s="220"/>
      <c r="AA70" s="220"/>
      <c r="AB70" s="221"/>
      <c r="AC70" s="56" t="s">
        <v>487</v>
      </c>
      <c r="AD70" s="345">
        <f t="shared" si="158"/>
        <v>45</v>
      </c>
      <c r="AE70" s="67"/>
      <c r="AF70" s="120"/>
      <c r="AG70" s="120"/>
      <c r="AH70" s="205">
        <v>45</v>
      </c>
      <c r="AI70" s="60"/>
      <c r="AJ70" s="95"/>
      <c r="AK70" s="60"/>
      <c r="AL70" s="81"/>
      <c r="AM70" s="81"/>
      <c r="AN70" s="81"/>
      <c r="AO70" s="81"/>
      <c r="AP70" s="81"/>
      <c r="AQ70" s="60"/>
      <c r="AR70" s="79"/>
      <c r="AS70" s="81"/>
      <c r="AT70" s="60"/>
      <c r="AU70" s="56"/>
      <c r="AV70" s="56"/>
      <c r="AW70" s="56"/>
      <c r="AX70" s="56"/>
      <c r="AY70" s="115"/>
      <c r="AZ70" s="115"/>
      <c r="BA70" s="100"/>
      <c r="BB70" s="216">
        <v>43032</v>
      </c>
      <c r="BC70" s="102"/>
      <c r="BD70" s="102"/>
      <c r="BE70" s="216"/>
      <c r="BF70" s="102"/>
      <c r="BG70" s="172"/>
      <c r="BH70" s="215"/>
      <c r="BI70" s="172"/>
      <c r="BJ70" s="172"/>
      <c r="BK70" s="103"/>
      <c r="BL70" s="200">
        <f t="shared" si="130"/>
        <v>731</v>
      </c>
      <c r="BM70" s="200">
        <f t="shared" si="131"/>
        <v>1096</v>
      </c>
      <c r="BN70" s="200"/>
      <c r="BO70" s="171"/>
      <c r="BP70" s="177"/>
      <c r="BQ70" s="103"/>
      <c r="BR70" s="104"/>
      <c r="BS70" s="104"/>
      <c r="BT70" s="104"/>
      <c r="BU70" s="170"/>
      <c r="BV70" s="268"/>
      <c r="BW70" s="268"/>
      <c r="BX70" s="169"/>
      <c r="BY70" s="268"/>
      <c r="BZ70" s="268"/>
      <c r="CA70" s="268"/>
      <c r="CB70" s="450"/>
      <c r="CC70" s="682"/>
      <c r="CD70" s="509"/>
      <c r="CE70" s="384">
        <v>43191</v>
      </c>
      <c r="CF70" s="377"/>
      <c r="CG70" s="494">
        <f t="shared" si="159"/>
        <v>5.3</v>
      </c>
      <c r="CH70" s="262">
        <v>12</v>
      </c>
      <c r="CI70" s="262">
        <f t="shared" si="181"/>
        <v>13</v>
      </c>
      <c r="CJ70" s="257">
        <f t="shared" si="160"/>
        <v>12</v>
      </c>
      <c r="CK70" s="257">
        <f t="shared" si="161"/>
        <v>13</v>
      </c>
      <c r="CL70" s="257">
        <f t="shared" si="162"/>
        <v>0</v>
      </c>
      <c r="CM70" s="257">
        <f t="shared" si="163"/>
        <v>0</v>
      </c>
      <c r="CN70" s="263"/>
      <c r="CO70" s="263">
        <f t="shared" si="182"/>
        <v>0</v>
      </c>
      <c r="CP70" s="258"/>
      <c r="CQ70" s="699">
        <f t="shared" si="164"/>
        <v>43556</v>
      </c>
      <c r="CR70" s="391">
        <f t="shared" si="140"/>
        <v>43556</v>
      </c>
      <c r="CS70" s="388">
        <f t="shared" si="114"/>
        <v>731</v>
      </c>
      <c r="CT70" s="258"/>
      <c r="CU70" s="258"/>
      <c r="CV70" s="651">
        <f t="shared" si="132"/>
        <v>43586</v>
      </c>
      <c r="CW70" s="506">
        <f>CV70</f>
        <v>43586</v>
      </c>
      <c r="CX70" s="654"/>
      <c r="CY70" s="123"/>
      <c r="CZ70" s="127"/>
      <c r="DA70" s="127"/>
      <c r="DB70" s="127"/>
      <c r="DC70" s="127"/>
      <c r="DD70" s="127"/>
      <c r="DE70" s="56"/>
      <c r="DF70" s="56"/>
      <c r="DG70" s="56"/>
      <c r="DH70" s="56"/>
      <c r="DI70" s="56"/>
      <c r="DJ70" s="56"/>
      <c r="DK70" s="56"/>
      <c r="DL70" s="56"/>
      <c r="DM70" s="56"/>
      <c r="DN70" s="56"/>
      <c r="DO70" s="56"/>
      <c r="DP70" s="56"/>
      <c r="DQ70" s="56"/>
      <c r="DR70" s="56"/>
      <c r="DS70" s="343">
        <v>42649</v>
      </c>
      <c r="DT70" s="128"/>
      <c r="DU70" s="128"/>
      <c r="DV70" s="589" t="str">
        <f t="shared" si="165"/>
        <v>0</v>
      </c>
      <c r="DW70" s="128">
        <v>42872</v>
      </c>
      <c r="DX70" s="128">
        <v>42880</v>
      </c>
      <c r="DY70" s="589">
        <f t="shared" si="166"/>
        <v>8</v>
      </c>
      <c r="DZ70" s="343">
        <v>42814</v>
      </c>
      <c r="EA70" s="343">
        <v>42853</v>
      </c>
      <c r="EB70" s="589">
        <f t="shared" si="167"/>
        <v>39</v>
      </c>
      <c r="EC70" s="613">
        <v>42877</v>
      </c>
      <c r="ED70" s="610">
        <f ca="1">IF(EC70&lt;TODAY(),TODAY(),EC70)</f>
        <v>43163</v>
      </c>
      <c r="EE70" s="615">
        <f t="shared" ca="1" si="168"/>
        <v>286</v>
      </c>
      <c r="EF70" s="613">
        <v>42962</v>
      </c>
      <c r="EG70" s="613">
        <f ca="1">IF(EF70&lt;TODAY(),TODAY(),EF70)</f>
        <v>43163</v>
      </c>
      <c r="EH70" s="615">
        <f t="shared" ca="1" si="169"/>
        <v>201</v>
      </c>
      <c r="EI70" s="618"/>
      <c r="EJ70" s="605">
        <v>43074</v>
      </c>
      <c r="EK70" s="600">
        <f ca="1">IF(EJ70&lt;TODAY(),TODAY(),EJ70)</f>
        <v>43163</v>
      </c>
      <c r="EL70" s="596">
        <f t="shared" ca="1" si="170"/>
        <v>89</v>
      </c>
      <c r="EM70" s="605">
        <v>43081</v>
      </c>
      <c r="EN70" s="600">
        <f ca="1">IF(EM70&lt;TODAY(),TODAY(),EM70)</f>
        <v>43163</v>
      </c>
      <c r="EO70" s="596">
        <f t="shared" ca="1" si="171"/>
        <v>82</v>
      </c>
      <c r="EP70" s="594"/>
      <c r="EQ70" s="600">
        <f t="shared" ca="1" si="134"/>
        <v>43163</v>
      </c>
      <c r="ER70" s="596" t="str">
        <f t="shared" ca="1" si="172"/>
        <v>0</v>
      </c>
      <c r="ES70" s="594"/>
      <c r="ET70" s="622">
        <f t="shared" ca="1" si="135"/>
        <v>43163</v>
      </c>
      <c r="EU70" s="597" t="str">
        <f t="shared" ca="1" si="173"/>
        <v>0</v>
      </c>
      <c r="EV70" s="600"/>
      <c r="EW70" s="600">
        <f t="shared" ca="1" si="136"/>
        <v>43163</v>
      </c>
      <c r="EX70" s="596" t="str">
        <f t="shared" ca="1" si="174"/>
        <v>0</v>
      </c>
      <c r="EY70" s="600"/>
      <c r="EZ70" s="600">
        <f t="shared" ca="1" si="123"/>
        <v>43163</v>
      </c>
      <c r="FA70" s="596" t="str">
        <f t="shared" ca="1" si="175"/>
        <v>0</v>
      </c>
      <c r="FB70" s="600"/>
      <c r="FC70" s="600">
        <f t="shared" ca="1" si="141"/>
        <v>43163</v>
      </c>
      <c r="FD70" s="596" t="str">
        <f t="shared" ca="1" si="176"/>
        <v>0</v>
      </c>
      <c r="FE70" s="600"/>
      <c r="FF70" s="600">
        <f t="shared" ca="1" si="142"/>
        <v>43163</v>
      </c>
      <c r="FG70" s="596" t="str">
        <f t="shared" ca="1" si="177"/>
        <v>0</v>
      </c>
      <c r="FH70" s="600"/>
      <c r="FI70" s="600">
        <f t="shared" ca="1" si="143"/>
        <v>43163</v>
      </c>
      <c r="FJ70" s="596" t="str">
        <f t="shared" ca="1" si="178"/>
        <v>0</v>
      </c>
      <c r="FK70" s="600"/>
      <c r="FL70" s="600"/>
      <c r="FM70" s="600"/>
      <c r="FN70" s="600">
        <v>43811</v>
      </c>
      <c r="FO70" s="600">
        <f t="shared" si="111"/>
        <v>43556</v>
      </c>
      <c r="FP70" s="598">
        <f t="shared" ca="1" si="144"/>
        <v>21.6</v>
      </c>
      <c r="FQ70" s="600">
        <v>43840</v>
      </c>
      <c r="FR70" s="600">
        <f t="shared" si="112"/>
        <v>43586</v>
      </c>
      <c r="FS70" s="627">
        <v>0</v>
      </c>
      <c r="FT70" s="627">
        <v>0</v>
      </c>
      <c r="FU70" s="627"/>
      <c r="FV70" s="627"/>
      <c r="FW70" s="628">
        <f t="shared" ca="1" si="179"/>
        <v>23.5</v>
      </c>
      <c r="FX70" s="628">
        <f t="shared" si="120"/>
        <v>-8.4666666666666668</v>
      </c>
      <c r="FY70" s="624"/>
      <c r="FZ70" s="641"/>
      <c r="GA70" s="641" t="s">
        <v>871</v>
      </c>
      <c r="GB70" s="624"/>
      <c r="GC70" s="118"/>
      <c r="GD70" s="118"/>
      <c r="GE70" s="426">
        <f>+GO70+GS70+GZ70+HT70+HE70+HD70</f>
        <v>0</v>
      </c>
      <c r="GF70" s="426">
        <f t="shared" ref="GF70:GF72" si="183">GP70+GT70+GY70+HA70+HE70</f>
        <v>0</v>
      </c>
      <c r="GG70" s="426"/>
      <c r="GH70" s="426" t="e">
        <f t="shared" si="145"/>
        <v>#DIV/0!</v>
      </c>
      <c r="GI70" s="426">
        <f t="shared" si="146"/>
        <v>0</v>
      </c>
      <c r="GJ70" s="426"/>
      <c r="GK70" s="426"/>
      <c r="GL70" s="426"/>
      <c r="GM70" s="112"/>
      <c r="GN70" s="112"/>
      <c r="GO70" s="691"/>
      <c r="GP70" s="426"/>
      <c r="GQ70" s="426">
        <f t="shared" si="147"/>
        <v>0</v>
      </c>
      <c r="GR70" s="426">
        <f>GP70-GO70</f>
        <v>0</v>
      </c>
      <c r="GS70" s="752"/>
      <c r="GT70" s="426"/>
      <c r="GU70" s="426"/>
      <c r="GV70" s="426"/>
      <c r="GW70" s="426"/>
      <c r="GX70" s="426">
        <f t="shared" si="148"/>
        <v>0</v>
      </c>
      <c r="GY70" s="426"/>
      <c r="GZ70" s="426"/>
      <c r="HA70" s="426"/>
      <c r="HB70" s="426"/>
      <c r="HC70" s="433" t="e">
        <f t="shared" si="149"/>
        <v>#DIV/0!</v>
      </c>
      <c r="HD70" s="426"/>
      <c r="HE70" s="426"/>
      <c r="HF70" s="426">
        <f t="shared" si="139"/>
        <v>0</v>
      </c>
      <c r="HG70" s="427">
        <f t="shared" si="150"/>
        <v>0</v>
      </c>
      <c r="HH70" s="429">
        <f t="shared" si="151"/>
        <v>0</v>
      </c>
      <c r="HI70" s="427">
        <f t="shared" si="118"/>
        <v>0</v>
      </c>
      <c r="HJ70" s="430"/>
      <c r="HK70" s="430"/>
      <c r="HL70" s="426"/>
      <c r="HM70" s="426"/>
      <c r="HN70" s="427">
        <f t="shared" si="137"/>
        <v>0</v>
      </c>
      <c r="HO70" s="426"/>
      <c r="HP70" s="427">
        <f>(GP70+GZ70+HM70+HO70)/AD70</f>
        <v>0</v>
      </c>
      <c r="HQ70" s="112" t="e">
        <f t="shared" si="138"/>
        <v>#DIV/0!</v>
      </c>
      <c r="HR70" s="426"/>
      <c r="HS70" s="426"/>
      <c r="HT70" s="426"/>
      <c r="HU70" s="431">
        <f t="shared" si="157"/>
        <v>0</v>
      </c>
      <c r="HV70" s="296"/>
      <c r="HW70" s="296">
        <f t="shared" si="180"/>
        <v>0</v>
      </c>
      <c r="HX70" s="297"/>
      <c r="HY70" s="300">
        <v>0</v>
      </c>
      <c r="HZ70" s="300"/>
      <c r="IA70" s="288"/>
      <c r="IB70" s="288"/>
      <c r="IC70" s="519">
        <v>0</v>
      </c>
      <c r="ID70" s="288"/>
      <c r="IE70" s="293">
        <v>0</v>
      </c>
      <c r="IF70" s="288"/>
      <c r="IG70" s="523"/>
      <c r="IH70" s="298"/>
      <c r="II70" s="303"/>
      <c r="IJ70" s="301"/>
      <c r="IK70" s="301"/>
      <c r="IL70" s="295"/>
      <c r="IM70" s="296"/>
      <c r="IN70" s="295"/>
      <c r="IO70" s="296"/>
      <c r="IP70" s="326"/>
      <c r="IQ70" s="326"/>
      <c r="IR70" s="326"/>
      <c r="IS70" s="326"/>
      <c r="IT70" s="289"/>
      <c r="IU70" s="289"/>
      <c r="IV70" s="289"/>
      <c r="IW70" s="289"/>
      <c r="IX70" s="289"/>
      <c r="IY70" s="289"/>
      <c r="IZ70" s="300" t="e">
        <f t="shared" ref="IZ70:IZ77" si="184">$IZ$1*HV70</f>
        <v>#VALUE!</v>
      </c>
      <c r="JA70" s="123"/>
      <c r="JB70" s="298"/>
      <c r="JC70" s="123"/>
      <c r="JD70" s="123"/>
      <c r="JE70" s="298"/>
    </row>
    <row r="71" spans="1:265" ht="24.95" customHeight="1">
      <c r="A71" s="318" t="s">
        <v>498</v>
      </c>
      <c r="B71" s="56" t="s">
        <v>499</v>
      </c>
      <c r="C71" s="56" t="s">
        <v>119</v>
      </c>
      <c r="D71" s="56">
        <v>2017</v>
      </c>
      <c r="E71" s="56"/>
      <c r="F71" s="56" t="s">
        <v>488</v>
      </c>
      <c r="G71" s="56" t="s">
        <v>297</v>
      </c>
      <c r="H71" s="56" t="s">
        <v>185</v>
      </c>
      <c r="I71" s="56"/>
      <c r="J71" s="56" t="s">
        <v>500</v>
      </c>
      <c r="K71" s="275" t="s">
        <v>556</v>
      </c>
      <c r="L71" s="178" t="s">
        <v>64</v>
      </c>
      <c r="M71" s="179" t="s">
        <v>527</v>
      </c>
      <c r="N71" s="180">
        <v>35569</v>
      </c>
      <c r="O71" s="245"/>
      <c r="P71" s="245"/>
      <c r="Q71" s="245"/>
      <c r="R71" s="245"/>
      <c r="S71" s="245"/>
      <c r="T71" s="719"/>
      <c r="U71" s="719"/>
      <c r="V71" s="719"/>
      <c r="W71" s="245"/>
      <c r="X71" s="220"/>
      <c r="Y71" s="221"/>
      <c r="Z71" s="220"/>
      <c r="AA71" s="220"/>
      <c r="AB71" s="221"/>
      <c r="AC71" s="56" t="s">
        <v>487</v>
      </c>
      <c r="AD71" s="345">
        <f t="shared" si="158"/>
        <v>31</v>
      </c>
      <c r="AE71" s="67"/>
      <c r="AF71" s="120"/>
      <c r="AG71" s="120"/>
      <c r="AH71" s="205">
        <v>31</v>
      </c>
      <c r="AI71" s="60"/>
      <c r="AJ71" s="95"/>
      <c r="AK71" s="60"/>
      <c r="AL71" s="81"/>
      <c r="AM71" s="81"/>
      <c r="AN71" s="81"/>
      <c r="AO71" s="81"/>
      <c r="AP71" s="81"/>
      <c r="AQ71" s="60"/>
      <c r="AR71" s="79"/>
      <c r="AS71" s="81"/>
      <c r="AT71" s="60"/>
      <c r="AU71" s="56"/>
      <c r="AV71" s="56"/>
      <c r="AW71" s="56"/>
      <c r="AX71" s="56"/>
      <c r="AY71" s="115"/>
      <c r="AZ71" s="115"/>
      <c r="BA71" s="100"/>
      <c r="BB71" s="216">
        <v>43039</v>
      </c>
      <c r="BC71" s="102"/>
      <c r="BD71" s="102"/>
      <c r="BE71" s="216"/>
      <c r="BF71" s="102"/>
      <c r="BG71" s="172"/>
      <c r="BH71" s="215"/>
      <c r="BI71" s="172"/>
      <c r="BJ71" s="172"/>
      <c r="BK71" s="103"/>
      <c r="BL71" s="200">
        <f t="shared" si="130"/>
        <v>731</v>
      </c>
      <c r="BM71" s="200">
        <f t="shared" si="131"/>
        <v>1096</v>
      </c>
      <c r="BN71" s="200"/>
      <c r="BO71" s="172"/>
      <c r="BP71" s="177"/>
      <c r="BQ71" s="103"/>
      <c r="BR71" s="104"/>
      <c r="BS71" s="104"/>
      <c r="BT71" s="104"/>
      <c r="BU71" s="170"/>
      <c r="BV71" s="268"/>
      <c r="BW71" s="268"/>
      <c r="BX71" s="169"/>
      <c r="BY71" s="268"/>
      <c r="BZ71" s="268"/>
      <c r="CA71" s="268"/>
      <c r="CB71" s="450"/>
      <c r="CC71" s="682"/>
      <c r="CD71" s="509"/>
      <c r="CE71" s="384">
        <v>43191</v>
      </c>
      <c r="CF71" s="377"/>
      <c r="CG71" s="494">
        <f t="shared" si="159"/>
        <v>5.0666666666666664</v>
      </c>
      <c r="CH71" s="262">
        <v>12</v>
      </c>
      <c r="CI71" s="262">
        <f t="shared" si="181"/>
        <v>13</v>
      </c>
      <c r="CJ71" s="257">
        <f t="shared" si="160"/>
        <v>12</v>
      </c>
      <c r="CK71" s="257">
        <f t="shared" si="161"/>
        <v>13</v>
      </c>
      <c r="CL71" s="257">
        <f t="shared" si="162"/>
        <v>0</v>
      </c>
      <c r="CM71" s="257">
        <f t="shared" si="163"/>
        <v>0</v>
      </c>
      <c r="CN71" s="263"/>
      <c r="CO71" s="263">
        <f t="shared" si="182"/>
        <v>0</v>
      </c>
      <c r="CP71" s="258"/>
      <c r="CQ71" s="699">
        <f t="shared" si="164"/>
        <v>43556</v>
      </c>
      <c r="CR71" s="391">
        <f t="shared" si="140"/>
        <v>43556</v>
      </c>
      <c r="CS71" s="388">
        <f t="shared" si="114"/>
        <v>731</v>
      </c>
      <c r="CT71" s="258"/>
      <c r="CU71" s="258"/>
      <c r="CV71" s="651">
        <f t="shared" si="132"/>
        <v>43586</v>
      </c>
      <c r="CW71" s="506">
        <f>CV71</f>
        <v>43586</v>
      </c>
      <c r="CX71" s="654"/>
      <c r="CY71" s="123"/>
      <c r="CZ71" s="127"/>
      <c r="DA71" s="127"/>
      <c r="DB71" s="127"/>
      <c r="DC71" s="127"/>
      <c r="DD71" s="127"/>
      <c r="DE71" s="56"/>
      <c r="DF71" s="56"/>
      <c r="DG71" s="56"/>
      <c r="DH71" s="56"/>
      <c r="DI71" s="56"/>
      <c r="DJ71" s="56"/>
      <c r="DK71" s="56"/>
      <c r="DL71" s="56"/>
      <c r="DM71" s="56"/>
      <c r="DN71" s="56"/>
      <c r="DO71" s="56"/>
      <c r="DP71" s="56"/>
      <c r="DQ71" s="56"/>
      <c r="DR71" s="56"/>
      <c r="DS71" s="343">
        <v>42632</v>
      </c>
      <c r="DT71" s="128"/>
      <c r="DU71" s="128"/>
      <c r="DV71" s="589" t="str">
        <f t="shared" si="165"/>
        <v>0</v>
      </c>
      <c r="DW71" s="128">
        <v>42914</v>
      </c>
      <c r="DX71" s="128">
        <v>42884</v>
      </c>
      <c r="DY71" s="589">
        <f t="shared" si="166"/>
        <v>-30</v>
      </c>
      <c r="DZ71" s="343">
        <v>42809</v>
      </c>
      <c r="EA71" s="343">
        <v>42893</v>
      </c>
      <c r="EB71" s="589">
        <f t="shared" si="167"/>
        <v>84</v>
      </c>
      <c r="EC71" s="128">
        <v>42972</v>
      </c>
      <c r="ED71" s="343">
        <v>42976</v>
      </c>
      <c r="EE71" s="589">
        <f t="shared" si="168"/>
        <v>4</v>
      </c>
      <c r="EF71" s="128">
        <v>42977</v>
      </c>
      <c r="EG71" s="128">
        <v>42976</v>
      </c>
      <c r="EH71" s="589">
        <f t="shared" si="169"/>
        <v>-1</v>
      </c>
      <c r="EI71" s="618"/>
      <c r="EJ71" s="605">
        <v>43077</v>
      </c>
      <c r="EK71" s="600">
        <f ca="1">IF(EJ71&lt;TODAY(),TODAY(),EJ71)</f>
        <v>43163</v>
      </c>
      <c r="EL71" s="596">
        <f t="shared" ca="1" si="170"/>
        <v>86</v>
      </c>
      <c r="EM71" s="605">
        <v>43090</v>
      </c>
      <c r="EN71" s="600">
        <f ca="1">IF(EM71&lt;TODAY(),TODAY(),EM71)</f>
        <v>43163</v>
      </c>
      <c r="EO71" s="596">
        <f t="shared" ca="1" si="171"/>
        <v>73</v>
      </c>
      <c r="EP71" s="594"/>
      <c r="EQ71" s="600">
        <f t="shared" ca="1" si="134"/>
        <v>43163</v>
      </c>
      <c r="ER71" s="596" t="str">
        <f t="shared" ca="1" si="172"/>
        <v>0</v>
      </c>
      <c r="ES71" s="594"/>
      <c r="ET71" s="622">
        <f t="shared" ca="1" si="135"/>
        <v>43163</v>
      </c>
      <c r="EU71" s="597" t="str">
        <f t="shared" ca="1" si="173"/>
        <v>0</v>
      </c>
      <c r="EV71" s="600"/>
      <c r="EW71" s="600">
        <f t="shared" ca="1" si="136"/>
        <v>43163</v>
      </c>
      <c r="EX71" s="596" t="str">
        <f t="shared" ca="1" si="174"/>
        <v>0</v>
      </c>
      <c r="EY71" s="594"/>
      <c r="EZ71" s="600">
        <f t="shared" ca="1" si="123"/>
        <v>43163</v>
      </c>
      <c r="FA71" s="596" t="str">
        <f t="shared" ca="1" si="175"/>
        <v>0</v>
      </c>
      <c r="FB71" s="600"/>
      <c r="FC71" s="600">
        <f t="shared" ca="1" si="141"/>
        <v>43163</v>
      </c>
      <c r="FD71" s="596" t="str">
        <f t="shared" ca="1" si="176"/>
        <v>0</v>
      </c>
      <c r="FE71" s="600"/>
      <c r="FF71" s="600">
        <f t="shared" ca="1" si="142"/>
        <v>43163</v>
      </c>
      <c r="FG71" s="596" t="str">
        <f t="shared" ca="1" si="177"/>
        <v>0</v>
      </c>
      <c r="FH71" s="600"/>
      <c r="FI71" s="600">
        <f t="shared" ca="1" si="143"/>
        <v>43163</v>
      </c>
      <c r="FJ71" s="596" t="str">
        <f t="shared" ca="1" si="178"/>
        <v>0</v>
      </c>
      <c r="FK71" s="600"/>
      <c r="FL71" s="600"/>
      <c r="FM71" s="600"/>
      <c r="FN71" s="600">
        <v>43819</v>
      </c>
      <c r="FO71" s="600">
        <f t="shared" si="111"/>
        <v>43556</v>
      </c>
      <c r="FP71" s="598">
        <f t="shared" ca="1" si="144"/>
        <v>21.866666666666667</v>
      </c>
      <c r="FQ71" s="600">
        <v>43850</v>
      </c>
      <c r="FR71" s="600">
        <f t="shared" si="112"/>
        <v>43586</v>
      </c>
      <c r="FS71" s="627">
        <v>0</v>
      </c>
      <c r="FT71" s="627">
        <v>0</v>
      </c>
      <c r="FU71" s="627"/>
      <c r="FV71" s="627"/>
      <c r="FW71" s="628">
        <f t="shared" ca="1" si="179"/>
        <v>7.2</v>
      </c>
      <c r="FX71" s="628">
        <f t="shared" si="120"/>
        <v>-8.8000000000000007</v>
      </c>
      <c r="FY71" s="624"/>
      <c r="FZ71" s="641"/>
      <c r="GA71" s="641" t="s">
        <v>872</v>
      </c>
      <c r="GB71" s="624"/>
      <c r="GC71" s="118"/>
      <c r="GD71" s="118"/>
      <c r="GE71" s="96">
        <f>+GO71+GS71+GZ71+HT71+HE71+HD71</f>
        <v>0</v>
      </c>
      <c r="GF71" s="426">
        <f t="shared" si="183"/>
        <v>0</v>
      </c>
      <c r="GG71" s="96"/>
      <c r="GH71" s="96" t="e">
        <f t="shared" si="145"/>
        <v>#DIV/0!</v>
      </c>
      <c r="GI71" s="329">
        <f t="shared" si="146"/>
        <v>0</v>
      </c>
      <c r="GJ71" s="96"/>
      <c r="GK71" s="96"/>
      <c r="GL71" s="96"/>
      <c r="GM71" s="96"/>
      <c r="GN71" s="329"/>
      <c r="GO71" s="96"/>
      <c r="GP71" s="426"/>
      <c r="GQ71" s="96">
        <f t="shared" si="147"/>
        <v>0</v>
      </c>
      <c r="GR71" s="96">
        <f>GP71-GO71</f>
        <v>0</v>
      </c>
      <c r="GS71" s="448"/>
      <c r="GT71" s="426"/>
      <c r="GU71" s="426"/>
      <c r="GV71" s="426"/>
      <c r="GW71" s="96"/>
      <c r="GX71" s="329">
        <f t="shared" si="148"/>
        <v>0</v>
      </c>
      <c r="GY71" s="96"/>
      <c r="GZ71" s="96"/>
      <c r="HA71" s="426"/>
      <c r="HB71" s="96"/>
      <c r="HC71" s="329" t="e">
        <f t="shared" si="149"/>
        <v>#DIV/0!</v>
      </c>
      <c r="HD71" s="426"/>
      <c r="HE71" s="426"/>
      <c r="HF71" s="92">
        <f t="shared" si="139"/>
        <v>0</v>
      </c>
      <c r="HG71" s="23">
        <f t="shared" si="150"/>
        <v>0</v>
      </c>
      <c r="HH71" s="84">
        <f t="shared" si="151"/>
        <v>0</v>
      </c>
      <c r="HI71" s="427">
        <f t="shared" si="118"/>
        <v>0</v>
      </c>
      <c r="HJ71" s="430"/>
      <c r="HK71" s="430"/>
      <c r="HL71" s="426"/>
      <c r="HM71" s="426"/>
      <c r="HN71" s="427">
        <f t="shared" si="137"/>
        <v>0</v>
      </c>
      <c r="HO71" s="426"/>
      <c r="HP71" s="427">
        <f>(GP71+GZ71+HM71+HO71)/AD71</f>
        <v>0</v>
      </c>
      <c r="HQ71" s="112" t="e">
        <f t="shared" si="138"/>
        <v>#DIV/0!</v>
      </c>
      <c r="HR71" s="426"/>
      <c r="HS71" s="426"/>
      <c r="HT71" s="426"/>
      <c r="HU71" s="431">
        <f t="shared" si="157"/>
        <v>0</v>
      </c>
      <c r="HV71" s="296"/>
      <c r="HW71" s="296">
        <f t="shared" si="180"/>
        <v>0</v>
      </c>
      <c r="HX71" s="297"/>
      <c r="HY71" s="300">
        <v>0</v>
      </c>
      <c r="HZ71" s="300"/>
      <c r="IA71" s="288"/>
      <c r="IB71" s="288"/>
      <c r="IC71" s="519">
        <v>0</v>
      </c>
      <c r="ID71" s="288"/>
      <c r="IE71" s="293">
        <v>0</v>
      </c>
      <c r="IF71" s="288"/>
      <c r="IG71" s="523"/>
      <c r="IH71" s="298"/>
      <c r="II71" s="303"/>
      <c r="IJ71" s="301"/>
      <c r="IK71" s="301"/>
      <c r="IL71" s="295"/>
      <c r="IM71" s="300"/>
      <c r="IN71" s="295"/>
      <c r="IO71" s="300"/>
      <c r="IP71" s="326"/>
      <c r="IQ71" s="326"/>
      <c r="IR71" s="326"/>
      <c r="IS71" s="326"/>
      <c r="IT71" s="289"/>
      <c r="IU71" s="289"/>
      <c r="IV71" s="289"/>
      <c r="IW71" s="289"/>
      <c r="IX71" s="289"/>
      <c r="IY71" s="289"/>
      <c r="IZ71" s="300" t="e">
        <f t="shared" si="184"/>
        <v>#VALUE!</v>
      </c>
      <c r="JA71" s="123"/>
      <c r="JB71" s="298"/>
      <c r="JC71" s="123"/>
      <c r="JD71" s="123"/>
      <c r="JE71" s="298"/>
    </row>
    <row r="72" spans="1:265" ht="24.95" customHeight="1">
      <c r="A72" s="318" t="s">
        <v>494</v>
      </c>
      <c r="B72" s="56" t="s">
        <v>35</v>
      </c>
      <c r="C72" s="56" t="s">
        <v>117</v>
      </c>
      <c r="D72" s="56">
        <v>2017</v>
      </c>
      <c r="E72" s="56"/>
      <c r="F72" s="56" t="s">
        <v>488</v>
      </c>
      <c r="G72" s="56" t="s">
        <v>739</v>
      </c>
      <c r="H72" s="56" t="s">
        <v>184</v>
      </c>
      <c r="I72" s="56"/>
      <c r="J72" s="56" t="s">
        <v>495</v>
      </c>
      <c r="K72" s="275" t="s">
        <v>555</v>
      </c>
      <c r="L72" s="178"/>
      <c r="M72" s="179"/>
      <c r="N72" s="180"/>
      <c r="O72" s="245"/>
      <c r="P72" s="245"/>
      <c r="Q72" s="245"/>
      <c r="R72" s="245"/>
      <c r="S72" s="245"/>
      <c r="T72" s="719"/>
      <c r="U72" s="719"/>
      <c r="V72" s="719"/>
      <c r="W72" s="245"/>
      <c r="X72" s="220"/>
      <c r="Y72" s="221"/>
      <c r="Z72" s="220"/>
      <c r="AA72" s="220"/>
      <c r="AB72" s="221"/>
      <c r="AC72" s="56" t="s">
        <v>487</v>
      </c>
      <c r="AD72" s="345">
        <f t="shared" si="158"/>
        <v>74</v>
      </c>
      <c r="AE72" s="67"/>
      <c r="AF72" s="120"/>
      <c r="AG72" s="120"/>
      <c r="AH72" s="205">
        <v>74</v>
      </c>
      <c r="AI72" s="60"/>
      <c r="AJ72" s="95"/>
      <c r="AK72" s="9"/>
      <c r="AL72" s="81"/>
      <c r="AM72" s="81"/>
      <c r="AN72" s="81"/>
      <c r="AO72" s="81"/>
      <c r="AP72" s="81"/>
      <c r="AQ72" s="60"/>
      <c r="AR72" s="79"/>
      <c r="AS72" s="81"/>
      <c r="AT72" s="60"/>
      <c r="AU72" s="56"/>
      <c r="AV72" s="56"/>
      <c r="AW72" s="56"/>
      <c r="AX72" s="56"/>
      <c r="AY72" s="115"/>
      <c r="AZ72" s="115"/>
      <c r="BA72" s="100"/>
      <c r="BB72" s="216">
        <v>43039</v>
      </c>
      <c r="BC72" s="102"/>
      <c r="BD72" s="102"/>
      <c r="BE72" s="216"/>
      <c r="BF72" s="102"/>
      <c r="BG72" s="172"/>
      <c r="BH72" s="215"/>
      <c r="BI72" s="172"/>
      <c r="BJ72" s="172"/>
      <c r="BK72" s="103"/>
      <c r="BL72" s="200">
        <f t="shared" si="130"/>
        <v>731</v>
      </c>
      <c r="BM72" s="200">
        <f t="shared" si="131"/>
        <v>1096</v>
      </c>
      <c r="BN72" s="200"/>
      <c r="BO72" s="172"/>
      <c r="BP72" s="177"/>
      <c r="BQ72" s="103"/>
      <c r="BR72" s="104"/>
      <c r="BS72" s="104"/>
      <c r="BT72" s="104"/>
      <c r="BU72" s="170"/>
      <c r="BV72" s="268"/>
      <c r="BW72" s="268"/>
      <c r="BX72" s="169"/>
      <c r="BY72" s="268"/>
      <c r="BZ72" s="268"/>
      <c r="CA72" s="268"/>
      <c r="CB72" s="450"/>
      <c r="CC72" s="682"/>
      <c r="CD72" s="509"/>
      <c r="CE72" s="384">
        <v>43191</v>
      </c>
      <c r="CF72" s="377"/>
      <c r="CG72" s="494">
        <f t="shared" si="159"/>
        <v>5.0666666666666664</v>
      </c>
      <c r="CH72" s="262">
        <v>12</v>
      </c>
      <c r="CI72" s="262">
        <f t="shared" si="181"/>
        <v>13</v>
      </c>
      <c r="CJ72" s="257">
        <f t="shared" si="160"/>
        <v>12</v>
      </c>
      <c r="CK72" s="257">
        <f t="shared" si="161"/>
        <v>13</v>
      </c>
      <c r="CL72" s="257">
        <f t="shared" si="162"/>
        <v>0</v>
      </c>
      <c r="CM72" s="257">
        <f t="shared" si="163"/>
        <v>0</v>
      </c>
      <c r="CN72" s="263"/>
      <c r="CO72" s="263">
        <f t="shared" si="182"/>
        <v>0</v>
      </c>
      <c r="CP72" s="258"/>
      <c r="CQ72" s="699">
        <f t="shared" si="164"/>
        <v>43556</v>
      </c>
      <c r="CR72" s="391">
        <f t="shared" si="140"/>
        <v>43556</v>
      </c>
      <c r="CS72" s="388">
        <f t="shared" si="114"/>
        <v>731</v>
      </c>
      <c r="CT72" s="258"/>
      <c r="CU72" s="258"/>
      <c r="CV72" s="651">
        <f t="shared" si="132"/>
        <v>43586</v>
      </c>
      <c r="CW72" s="506">
        <f>CV72</f>
        <v>43586</v>
      </c>
      <c r="CX72" s="654"/>
      <c r="CY72" s="123"/>
      <c r="CZ72" s="127"/>
      <c r="DA72" s="127"/>
      <c r="DB72" s="127"/>
      <c r="DC72" s="127"/>
      <c r="DD72" s="127"/>
      <c r="DE72" s="56"/>
      <c r="DF72" s="56"/>
      <c r="DG72" s="56"/>
      <c r="DH72" s="56"/>
      <c r="DI72" s="56"/>
      <c r="DJ72" s="56"/>
      <c r="DK72" s="56"/>
      <c r="DL72" s="56"/>
      <c r="DM72" s="56"/>
      <c r="DN72" s="56"/>
      <c r="DO72" s="56"/>
      <c r="DP72" s="56"/>
      <c r="DQ72" s="56"/>
      <c r="DR72" s="56"/>
      <c r="DS72" s="343">
        <v>42632</v>
      </c>
      <c r="DT72" s="128"/>
      <c r="DU72" s="128"/>
      <c r="DV72" s="589" t="str">
        <f t="shared" si="165"/>
        <v>0</v>
      </c>
      <c r="DW72" s="128">
        <v>42870</v>
      </c>
      <c r="DX72" s="128">
        <v>42879</v>
      </c>
      <c r="DY72" s="589">
        <f t="shared" si="166"/>
        <v>9</v>
      </c>
      <c r="DZ72" s="343">
        <v>42814</v>
      </c>
      <c r="EA72" s="343">
        <v>42851</v>
      </c>
      <c r="EB72" s="589">
        <f t="shared" si="167"/>
        <v>37</v>
      </c>
      <c r="EC72" s="128">
        <v>42874</v>
      </c>
      <c r="ED72" s="128">
        <v>42935</v>
      </c>
      <c r="EE72" s="589">
        <f t="shared" si="168"/>
        <v>61</v>
      </c>
      <c r="EF72" s="128">
        <v>42936</v>
      </c>
      <c r="EG72" s="128">
        <v>42935</v>
      </c>
      <c r="EH72" s="589">
        <f t="shared" si="169"/>
        <v>-1</v>
      </c>
      <c r="EI72" s="618"/>
      <c r="EJ72" s="605">
        <v>43074</v>
      </c>
      <c r="EK72" s="600">
        <f ca="1">IF(EJ72&lt;TODAY(),TODAY(),EJ72)</f>
        <v>43163</v>
      </c>
      <c r="EL72" s="596">
        <f t="shared" ca="1" si="170"/>
        <v>89</v>
      </c>
      <c r="EM72" s="605">
        <v>43081</v>
      </c>
      <c r="EN72" s="600">
        <f ca="1">IF(EM72&lt;TODAY(),TODAY(),EM72)</f>
        <v>43163</v>
      </c>
      <c r="EO72" s="596">
        <f t="shared" ca="1" si="171"/>
        <v>82</v>
      </c>
      <c r="EP72" s="594"/>
      <c r="EQ72" s="600">
        <f t="shared" ca="1" si="134"/>
        <v>43163</v>
      </c>
      <c r="ER72" s="596" t="str">
        <f t="shared" ca="1" si="172"/>
        <v>0</v>
      </c>
      <c r="ES72" s="594"/>
      <c r="ET72" s="622">
        <f t="shared" ca="1" si="135"/>
        <v>43163</v>
      </c>
      <c r="EU72" s="597" t="str">
        <f t="shared" ca="1" si="173"/>
        <v>0</v>
      </c>
      <c r="EV72" s="600"/>
      <c r="EW72" s="600">
        <f t="shared" ca="1" si="136"/>
        <v>43163</v>
      </c>
      <c r="EX72" s="596" t="str">
        <f t="shared" ca="1" si="174"/>
        <v>0</v>
      </c>
      <c r="EY72" s="600"/>
      <c r="EZ72" s="600">
        <f t="shared" ca="1" si="123"/>
        <v>43163</v>
      </c>
      <c r="FA72" s="596" t="str">
        <f t="shared" ca="1" si="175"/>
        <v>0</v>
      </c>
      <c r="FB72" s="600"/>
      <c r="FC72" s="600">
        <f t="shared" ca="1" si="141"/>
        <v>43163</v>
      </c>
      <c r="FD72" s="596" t="str">
        <f t="shared" ca="1" si="176"/>
        <v>0</v>
      </c>
      <c r="FE72" s="600"/>
      <c r="FF72" s="600">
        <f t="shared" ca="1" si="142"/>
        <v>43163</v>
      </c>
      <c r="FG72" s="596" t="str">
        <f t="shared" ca="1" si="177"/>
        <v>0</v>
      </c>
      <c r="FH72" s="600"/>
      <c r="FI72" s="600">
        <f t="shared" ca="1" si="143"/>
        <v>43163</v>
      </c>
      <c r="FJ72" s="596" t="str">
        <f t="shared" ca="1" si="178"/>
        <v>0</v>
      </c>
      <c r="FK72" s="600"/>
      <c r="FL72" s="600"/>
      <c r="FM72" s="600"/>
      <c r="FN72" s="600">
        <v>43811</v>
      </c>
      <c r="FO72" s="600">
        <f t="shared" si="111"/>
        <v>43556</v>
      </c>
      <c r="FP72" s="598">
        <f t="shared" ca="1" si="144"/>
        <v>21.6</v>
      </c>
      <c r="FQ72" s="600">
        <v>43840</v>
      </c>
      <c r="FR72" s="600">
        <f t="shared" si="112"/>
        <v>43586</v>
      </c>
      <c r="FS72" s="627">
        <v>0</v>
      </c>
      <c r="FT72" s="627">
        <v>0</v>
      </c>
      <c r="FU72" s="627"/>
      <c r="FV72" s="627"/>
      <c r="FW72" s="628">
        <f t="shared" ca="1" si="179"/>
        <v>9.2333333333333325</v>
      </c>
      <c r="FX72" s="628">
        <f t="shared" si="120"/>
        <v>-8.4666666666666668</v>
      </c>
      <c r="FY72" s="624"/>
      <c r="FZ72" s="641"/>
      <c r="GA72" s="641" t="s">
        <v>872</v>
      </c>
      <c r="GB72" s="624"/>
      <c r="GC72" s="118"/>
      <c r="GD72" s="118"/>
      <c r="GE72" s="426">
        <f>+GO72+GS72+GZ72+HT72+HE72+HD72</f>
        <v>0</v>
      </c>
      <c r="GF72" s="426">
        <f t="shared" si="183"/>
        <v>0</v>
      </c>
      <c r="GG72" s="426"/>
      <c r="GH72" s="426" t="e">
        <f t="shared" si="145"/>
        <v>#DIV/0!</v>
      </c>
      <c r="GI72" s="426">
        <f t="shared" si="146"/>
        <v>0</v>
      </c>
      <c r="GJ72" s="426"/>
      <c r="GK72" s="426"/>
      <c r="GL72" s="426"/>
      <c r="GM72" s="112"/>
      <c r="GN72" s="112"/>
      <c r="GO72" s="691"/>
      <c r="GP72" s="426"/>
      <c r="GQ72" s="426">
        <f t="shared" si="147"/>
        <v>0</v>
      </c>
      <c r="GR72" s="426">
        <f>GP72-GO72</f>
        <v>0</v>
      </c>
      <c r="GS72" s="752"/>
      <c r="GT72" s="426"/>
      <c r="GU72" s="426"/>
      <c r="GV72" s="426"/>
      <c r="GW72" s="426"/>
      <c r="GX72" s="426">
        <f t="shared" si="148"/>
        <v>0</v>
      </c>
      <c r="GY72" s="426"/>
      <c r="GZ72" s="426"/>
      <c r="HA72" s="426"/>
      <c r="HB72" s="426"/>
      <c r="HC72" s="433" t="e">
        <f t="shared" si="149"/>
        <v>#DIV/0!</v>
      </c>
      <c r="HD72" s="426"/>
      <c r="HE72" s="426"/>
      <c r="HF72" s="426">
        <f t="shared" si="139"/>
        <v>0</v>
      </c>
      <c r="HG72" s="427">
        <f t="shared" si="150"/>
        <v>0</v>
      </c>
      <c r="HH72" s="429">
        <f t="shared" si="151"/>
        <v>0</v>
      </c>
      <c r="HI72" s="427">
        <f t="shared" si="118"/>
        <v>0</v>
      </c>
      <c r="HJ72" s="430"/>
      <c r="HK72" s="430"/>
      <c r="HL72" s="426"/>
      <c r="HM72" s="426"/>
      <c r="HN72" s="427">
        <f t="shared" si="137"/>
        <v>0</v>
      </c>
      <c r="HO72" s="426"/>
      <c r="HP72" s="427">
        <f>(GP72+GZ72+HM72+HO72)/AD72</f>
        <v>0</v>
      </c>
      <c r="HQ72" s="112" t="e">
        <f t="shared" si="138"/>
        <v>#DIV/0!</v>
      </c>
      <c r="HR72" s="426"/>
      <c r="HS72" s="426"/>
      <c r="HT72" s="426"/>
      <c r="HU72" s="431">
        <f t="shared" si="157"/>
        <v>0</v>
      </c>
      <c r="HV72" s="296"/>
      <c r="HW72" s="296">
        <f t="shared" si="180"/>
        <v>0</v>
      </c>
      <c r="HX72" s="297"/>
      <c r="HY72" s="300">
        <v>0</v>
      </c>
      <c r="HZ72" s="300"/>
      <c r="IA72" s="255"/>
      <c r="IB72" s="255"/>
      <c r="IC72" s="356">
        <v>0</v>
      </c>
      <c r="ID72" s="255"/>
      <c r="IE72" s="361">
        <v>0</v>
      </c>
      <c r="IF72" s="255"/>
      <c r="IG72" s="523"/>
      <c r="IH72" s="298"/>
      <c r="II72" s="303"/>
      <c r="IJ72" s="301"/>
      <c r="IK72" s="301"/>
      <c r="IL72" s="295"/>
      <c r="IM72" s="296"/>
      <c r="IN72" s="295"/>
      <c r="IO72" s="296"/>
      <c r="IP72" s="326"/>
      <c r="IQ72" s="326"/>
      <c r="IR72" s="326"/>
      <c r="IS72" s="326"/>
      <c r="IT72" s="289"/>
      <c r="IU72" s="289"/>
      <c r="IV72" s="289"/>
      <c r="IW72" s="289"/>
      <c r="IX72" s="289"/>
      <c r="IY72" s="289"/>
      <c r="IZ72" s="300" t="e">
        <f t="shared" si="184"/>
        <v>#VALUE!</v>
      </c>
      <c r="JA72" s="123"/>
      <c r="JB72" s="298"/>
      <c r="JC72" s="123"/>
      <c r="JD72" s="123"/>
      <c r="JE72" s="298"/>
    </row>
    <row r="73" spans="1:265" ht="24.95" customHeight="1">
      <c r="A73" s="318" t="s">
        <v>507</v>
      </c>
      <c r="B73" s="56" t="s">
        <v>46</v>
      </c>
      <c r="C73" s="56" t="s">
        <v>117</v>
      </c>
      <c r="D73" s="56">
        <v>2019</v>
      </c>
      <c r="E73" s="56"/>
      <c r="F73" s="56" t="s">
        <v>488</v>
      </c>
      <c r="G73" s="56" t="s">
        <v>189</v>
      </c>
      <c r="H73" s="56" t="s">
        <v>455</v>
      </c>
      <c r="I73" s="56"/>
      <c r="J73" s="56" t="s">
        <v>517</v>
      </c>
      <c r="K73" s="275" t="s">
        <v>531</v>
      </c>
      <c r="L73" s="178" t="s">
        <v>46</v>
      </c>
      <c r="M73" s="179" t="s">
        <v>532</v>
      </c>
      <c r="N73" s="180">
        <v>39798</v>
      </c>
      <c r="O73" s="245"/>
      <c r="P73" s="245"/>
      <c r="Q73" s="245"/>
      <c r="R73" s="245"/>
      <c r="S73" s="245"/>
      <c r="T73" s="719"/>
      <c r="U73" s="719"/>
      <c r="V73" s="719"/>
      <c r="W73" s="245"/>
      <c r="X73" s="220"/>
      <c r="Y73" s="221"/>
      <c r="Z73" s="220"/>
      <c r="AA73" s="220"/>
      <c r="AB73" s="221"/>
      <c r="AC73" s="56" t="s">
        <v>487</v>
      </c>
      <c r="AD73" s="345">
        <f t="shared" si="158"/>
        <v>16</v>
      </c>
      <c r="AE73" s="67"/>
      <c r="AF73" s="120"/>
      <c r="AG73" s="120"/>
      <c r="AH73" s="7">
        <v>16</v>
      </c>
      <c r="AI73" s="60"/>
      <c r="AJ73" s="95"/>
      <c r="AK73" s="9"/>
      <c r="AL73" s="81"/>
      <c r="AM73" s="81"/>
      <c r="AN73" s="81"/>
      <c r="AO73" s="81"/>
      <c r="AP73" s="81"/>
      <c r="AQ73" s="60"/>
      <c r="AR73" s="79"/>
      <c r="AS73" s="81"/>
      <c r="AT73" s="60"/>
      <c r="AU73" s="56"/>
      <c r="AV73" s="56"/>
      <c r="AW73" s="56"/>
      <c r="AX73" s="56"/>
      <c r="AY73" s="115"/>
      <c r="AZ73" s="115"/>
      <c r="BA73" s="100"/>
      <c r="BB73" s="216"/>
      <c r="BC73" s="102"/>
      <c r="BD73" s="102"/>
      <c r="BE73" s="216"/>
      <c r="BF73" s="102"/>
      <c r="BG73" s="172"/>
      <c r="BH73" s="215"/>
      <c r="BI73" s="172"/>
      <c r="BJ73" s="172"/>
      <c r="BK73" s="103"/>
      <c r="BL73" s="200">
        <f t="shared" si="130"/>
        <v>731</v>
      </c>
      <c r="BM73" s="200">
        <f t="shared" si="131"/>
        <v>1096</v>
      </c>
      <c r="BN73" s="200"/>
      <c r="BO73" s="171"/>
      <c r="BP73" s="177"/>
      <c r="BQ73" s="103"/>
      <c r="BR73" s="104"/>
      <c r="BS73" s="104"/>
      <c r="BT73" s="104"/>
      <c r="BU73" s="170"/>
      <c r="BV73" s="268"/>
      <c r="BW73" s="268"/>
      <c r="BX73" s="169"/>
      <c r="BY73" s="268"/>
      <c r="BZ73" s="268"/>
      <c r="CA73" s="268"/>
      <c r="CB73" s="450"/>
      <c r="CC73" s="450"/>
      <c r="CD73" s="509"/>
      <c r="CE73" s="384">
        <v>43753</v>
      </c>
      <c r="CF73" s="377"/>
      <c r="CG73" s="494">
        <f t="shared" si="159"/>
        <v>1458.4333333333334</v>
      </c>
      <c r="CH73" s="262">
        <v>12</v>
      </c>
      <c r="CI73" s="262">
        <f t="shared" si="181"/>
        <v>13</v>
      </c>
      <c r="CJ73" s="257">
        <f t="shared" si="160"/>
        <v>13</v>
      </c>
      <c r="CK73" s="257">
        <f t="shared" si="161"/>
        <v>15</v>
      </c>
      <c r="CL73" s="257">
        <f t="shared" si="162"/>
        <v>1</v>
      </c>
      <c r="CM73" s="257">
        <f t="shared" si="163"/>
        <v>2</v>
      </c>
      <c r="CN73" s="263"/>
      <c r="CO73" s="263">
        <f t="shared" si="182"/>
        <v>0</v>
      </c>
      <c r="CP73" s="258"/>
      <c r="CQ73" s="699">
        <f t="shared" si="164"/>
        <v>44119</v>
      </c>
      <c r="CR73" s="446">
        <f t="shared" ref="CR73:CR77" si="185">DATE(YEAR(CE73),MONTH(CE73)+CH73+1,DAY(CE73))</f>
        <v>44150</v>
      </c>
      <c r="CS73" s="458"/>
      <c r="CT73" s="198"/>
      <c r="CU73" s="198"/>
      <c r="CV73" s="650">
        <f t="shared" si="132"/>
        <v>44180</v>
      </c>
      <c r="CW73" s="446">
        <f t="shared" ref="CW73:CW77" si="186">DATE(YEAR(CV73),MONTH(CV73)+1,DAY(CV73))</f>
        <v>44211</v>
      </c>
      <c r="CX73" s="458"/>
      <c r="CY73" s="123"/>
      <c r="CZ73" s="127"/>
      <c r="DA73" s="127"/>
      <c r="DB73" s="127"/>
      <c r="DC73" s="127"/>
      <c r="DD73" s="127"/>
      <c r="DE73" s="56"/>
      <c r="DF73" s="56"/>
      <c r="DG73" s="56"/>
      <c r="DH73" s="56"/>
      <c r="DI73" s="56"/>
      <c r="DJ73" s="56"/>
      <c r="DK73" s="56"/>
      <c r="DL73" s="56"/>
      <c r="DM73" s="56"/>
      <c r="DN73" s="56"/>
      <c r="DO73" s="56"/>
      <c r="DP73" s="56"/>
      <c r="DQ73" s="56"/>
      <c r="DR73" s="56"/>
      <c r="DS73" s="610"/>
      <c r="DT73" s="611"/>
      <c r="DU73" s="611"/>
      <c r="DV73" s="612"/>
      <c r="DW73" s="613"/>
      <c r="DX73" s="613"/>
      <c r="DY73" s="615" t="str">
        <f t="shared" si="166"/>
        <v>0</v>
      </c>
      <c r="DZ73" s="616"/>
      <c r="EA73" s="610"/>
      <c r="EB73" s="615" t="str">
        <f t="shared" si="167"/>
        <v>0</v>
      </c>
      <c r="EC73" s="616"/>
      <c r="ED73" s="610"/>
      <c r="EE73" s="615" t="str">
        <f t="shared" si="168"/>
        <v>0</v>
      </c>
      <c r="EF73" s="616"/>
      <c r="EG73" s="617"/>
      <c r="EH73" s="615" t="str">
        <f t="shared" si="169"/>
        <v>0</v>
      </c>
      <c r="EI73" s="618"/>
      <c r="EJ73" s="594"/>
      <c r="EK73" s="595"/>
      <c r="EL73" s="596" t="str">
        <f t="shared" si="170"/>
        <v>0</v>
      </c>
      <c r="EM73" s="594"/>
      <c r="EN73" s="595"/>
      <c r="EO73" s="596" t="str">
        <f t="shared" si="171"/>
        <v>0</v>
      </c>
      <c r="EP73" s="594"/>
      <c r="EQ73" s="595"/>
      <c r="ER73" s="596" t="str">
        <f t="shared" si="172"/>
        <v>0</v>
      </c>
      <c r="ES73" s="594"/>
      <c r="ET73" s="622"/>
      <c r="EU73" s="597" t="str">
        <f t="shared" si="173"/>
        <v>0</v>
      </c>
      <c r="EV73" s="598"/>
      <c r="EW73" s="599"/>
      <c r="EX73" s="596" t="str">
        <f t="shared" si="174"/>
        <v>0</v>
      </c>
      <c r="EY73" s="595"/>
      <c r="EZ73" s="600"/>
      <c r="FA73" s="596" t="str">
        <f t="shared" si="175"/>
        <v>0</v>
      </c>
      <c r="FB73" s="602"/>
      <c r="FC73" s="602"/>
      <c r="FD73" s="596" t="str">
        <f t="shared" si="176"/>
        <v>0</v>
      </c>
      <c r="FE73" s="602"/>
      <c r="FF73" s="602"/>
      <c r="FG73" s="596" t="str">
        <f t="shared" si="177"/>
        <v>0</v>
      </c>
      <c r="FH73" s="602"/>
      <c r="FI73" s="602"/>
      <c r="FJ73" s="596" t="str">
        <f t="shared" si="178"/>
        <v>0</v>
      </c>
      <c r="FK73" s="602"/>
      <c r="FL73" s="602"/>
      <c r="FM73" s="602"/>
      <c r="FN73" s="602"/>
      <c r="FO73" s="600">
        <f t="shared" ref="FO73:FO103" si="187">CR73</f>
        <v>44150</v>
      </c>
      <c r="FP73" s="598">
        <f t="shared" si="144"/>
        <v>0</v>
      </c>
      <c r="FQ73" s="602"/>
      <c r="FR73" s="600">
        <f t="shared" ref="FR73:FR103" si="188">CW73</f>
        <v>44211</v>
      </c>
      <c r="FS73" s="627"/>
      <c r="FT73" s="627"/>
      <c r="FU73" s="627"/>
      <c r="FV73" s="627"/>
      <c r="FW73" s="628">
        <f t="shared" si="179"/>
        <v>0</v>
      </c>
      <c r="FX73" s="628">
        <f t="shared" si="120"/>
        <v>1473.7</v>
      </c>
      <c r="FY73" s="624"/>
      <c r="FZ73" s="641"/>
      <c r="GA73" s="624"/>
      <c r="GB73" s="624"/>
      <c r="GC73" s="118"/>
      <c r="GD73" s="118"/>
      <c r="GE73" s="426">
        <f t="shared" ref="GE73:GE93" si="189">+GO73+GS73+GZ73+HT73+HE73</f>
        <v>5522950</v>
      </c>
      <c r="GF73" s="426"/>
      <c r="GG73" s="426">
        <f t="shared" ref="GG73:GG99" si="190">GF73-GE73</f>
        <v>-5522950</v>
      </c>
      <c r="GH73" s="426" t="e">
        <f t="shared" si="145"/>
        <v>#DIV/0!</v>
      </c>
      <c r="GI73" s="426">
        <f t="shared" si="146"/>
        <v>345184.375</v>
      </c>
      <c r="GJ73" s="426"/>
      <c r="GK73" s="426"/>
      <c r="GL73" s="426">
        <f t="shared" ref="GL73:GL99" si="191">GK73-GJ73</f>
        <v>0</v>
      </c>
      <c r="GM73" s="112" t="e">
        <f t="shared" ref="GM73:GM99" si="192">GK73*1.021/GF73</f>
        <v>#DIV/0!</v>
      </c>
      <c r="GN73" s="112">
        <v>0.4</v>
      </c>
      <c r="GO73" s="426">
        <v>1883035</v>
      </c>
      <c r="GP73" s="426"/>
      <c r="GQ73" s="426">
        <f t="shared" si="147"/>
        <v>117689.6875</v>
      </c>
      <c r="GR73" s="426"/>
      <c r="GS73" s="426">
        <v>3389915</v>
      </c>
      <c r="GT73" s="426"/>
      <c r="GU73" s="426"/>
      <c r="GV73" s="426"/>
      <c r="GW73" s="426">
        <f t="shared" ref="GW73:GW99" si="193">GT73-GS73</f>
        <v>-3389915</v>
      </c>
      <c r="GX73" s="426">
        <f t="shared" si="148"/>
        <v>211869.6875</v>
      </c>
      <c r="GY73" s="426"/>
      <c r="GZ73" s="426">
        <v>250000</v>
      </c>
      <c r="HA73" s="426"/>
      <c r="HB73" s="426"/>
      <c r="HC73" s="433">
        <f t="shared" si="149"/>
        <v>4.5265664183090561E-2</v>
      </c>
      <c r="HD73" s="433"/>
      <c r="HE73" s="426"/>
      <c r="HF73" s="426">
        <f t="shared" si="139"/>
        <v>-250000</v>
      </c>
      <c r="HG73" s="427">
        <f t="shared" si="150"/>
        <v>15625</v>
      </c>
      <c r="HH73" s="429">
        <f t="shared" si="151"/>
        <v>133314.6875</v>
      </c>
      <c r="HI73" s="427">
        <f t="shared" si="118"/>
        <v>-15625</v>
      </c>
      <c r="HJ73" s="430">
        <v>6.31</v>
      </c>
      <c r="HK73" s="430"/>
      <c r="HL73" s="426"/>
      <c r="HM73" s="426"/>
      <c r="HN73" s="427">
        <f t="shared" si="137"/>
        <v>133314.6875</v>
      </c>
      <c r="HO73" s="426"/>
      <c r="HP73" s="427">
        <f t="shared" ref="HP73:HP77" si="194">(GP73+HA73+HM73+HO73)/AD73</f>
        <v>0</v>
      </c>
      <c r="HQ73" s="112">
        <f t="shared" si="138"/>
        <v>0.38621298400311427</v>
      </c>
      <c r="HR73" s="426"/>
      <c r="HS73" s="426"/>
      <c r="HT73" s="426"/>
      <c r="HU73" s="431">
        <f t="shared" si="157"/>
        <v>5522950</v>
      </c>
      <c r="HV73" s="296"/>
      <c r="HW73" s="296">
        <f t="shared" si="180"/>
        <v>0</v>
      </c>
      <c r="HX73" s="297"/>
      <c r="HY73" s="300">
        <v>0</v>
      </c>
      <c r="HZ73" s="300"/>
      <c r="IA73" s="272"/>
      <c r="IB73" s="272"/>
      <c r="IC73" s="424">
        <v>0</v>
      </c>
      <c r="ID73" s="281"/>
      <c r="IE73" s="293">
        <v>0</v>
      </c>
      <c r="IF73" s="281"/>
      <c r="IG73" s="523"/>
      <c r="IH73" s="298"/>
      <c r="II73" s="303"/>
      <c r="IJ73" s="301"/>
      <c r="IK73" s="301"/>
      <c r="IL73" s="295"/>
      <c r="IM73" s="296"/>
      <c r="IN73" s="295"/>
      <c r="IO73" s="296"/>
      <c r="IP73" s="326"/>
      <c r="IQ73" s="326"/>
      <c r="IR73" s="326"/>
      <c r="IS73" s="326"/>
      <c r="IT73" s="289"/>
      <c r="IU73" s="289"/>
      <c r="IV73" s="289"/>
      <c r="IW73" s="289"/>
      <c r="IX73" s="289"/>
      <c r="IY73" s="289"/>
      <c r="IZ73" s="300" t="e">
        <f t="shared" si="184"/>
        <v>#VALUE!</v>
      </c>
      <c r="JA73" s="123"/>
      <c r="JB73" s="298"/>
      <c r="JC73" s="123"/>
      <c r="JD73" s="123"/>
      <c r="JE73" s="298"/>
    </row>
    <row r="74" spans="1:265" ht="24.95" customHeight="1">
      <c r="A74" s="101" t="s">
        <v>484</v>
      </c>
      <c r="B74" s="56" t="s">
        <v>35</v>
      </c>
      <c r="C74" s="56" t="s">
        <v>117</v>
      </c>
      <c r="D74" s="56">
        <v>2021</v>
      </c>
      <c r="E74" s="56"/>
      <c r="F74" s="56"/>
      <c r="G74" s="56"/>
      <c r="H74" s="56" t="s">
        <v>253</v>
      </c>
      <c r="I74" s="56"/>
      <c r="J74" s="56"/>
      <c r="K74" s="275"/>
      <c r="L74" s="178"/>
      <c r="M74" s="179"/>
      <c r="N74" s="180"/>
      <c r="O74" s="225"/>
      <c r="P74" s="225"/>
      <c r="Q74" s="225"/>
      <c r="R74" s="219">
        <f>P74/AD74</f>
        <v>0</v>
      </c>
      <c r="S74" s="219" t="e">
        <f>P74/O74</f>
        <v>#DIV/0!</v>
      </c>
      <c r="T74" s="225" t="e">
        <f>Q74/O74</f>
        <v>#DIV/0!</v>
      </c>
      <c r="U74" s="225" t="e">
        <f>Q74/AJ74</f>
        <v>#DIV/0!</v>
      </c>
      <c r="V74" s="225">
        <f>Q74/AD74</f>
        <v>0</v>
      </c>
      <c r="W74" s="219">
        <f>O74/AD74</f>
        <v>0</v>
      </c>
      <c r="X74" s="229"/>
      <c r="Y74" s="228" t="e">
        <f>AJ74/O74</f>
        <v>#DIV/0!</v>
      </c>
      <c r="Z74" s="229"/>
      <c r="AA74" s="220"/>
      <c r="AB74" s="221"/>
      <c r="AC74" s="56" t="s">
        <v>16</v>
      </c>
      <c r="AD74" s="345">
        <f t="shared" si="158"/>
        <v>37</v>
      </c>
      <c r="AE74" s="67"/>
      <c r="AF74" s="56">
        <v>37</v>
      </c>
      <c r="AG74" s="67"/>
      <c r="AH74" s="8"/>
      <c r="AI74" s="60"/>
      <c r="AJ74" s="444"/>
      <c r="AK74" s="9">
        <f>AJ74/AD74</f>
        <v>0</v>
      </c>
      <c r="AL74" s="62"/>
      <c r="AM74" s="62"/>
      <c r="AN74" s="62"/>
      <c r="AO74" s="62"/>
      <c r="AP74" s="62"/>
      <c r="AQ74" s="60"/>
      <c r="AR74" s="79"/>
      <c r="AS74" s="81"/>
      <c r="AT74" s="60"/>
      <c r="AU74" s="59" t="s">
        <v>621</v>
      </c>
      <c r="AV74" s="56"/>
      <c r="AW74" s="202"/>
      <c r="AX74" s="56"/>
      <c r="AY74" s="115"/>
      <c r="AZ74" s="115"/>
      <c r="BA74" s="278"/>
      <c r="BB74" s="216"/>
      <c r="BC74" s="102"/>
      <c r="BD74" s="102"/>
      <c r="BE74" s="216"/>
      <c r="BF74" s="102"/>
      <c r="BG74" s="172"/>
      <c r="BH74" s="215"/>
      <c r="BI74" s="172"/>
      <c r="BJ74" s="172"/>
      <c r="BK74" s="103"/>
      <c r="BL74" s="200">
        <f t="shared" si="130"/>
        <v>731</v>
      </c>
      <c r="BM74" s="200">
        <f t="shared" si="131"/>
        <v>1096</v>
      </c>
      <c r="BN74" s="200"/>
      <c r="BO74" s="172"/>
      <c r="BP74" s="116"/>
      <c r="BQ74" s="103"/>
      <c r="BR74" s="104"/>
      <c r="BS74" s="104"/>
      <c r="BT74" s="104"/>
      <c r="BU74" s="170"/>
      <c r="BV74" s="268"/>
      <c r="BW74" s="268"/>
      <c r="BX74" s="169"/>
      <c r="BY74" s="268"/>
      <c r="BZ74" s="268"/>
      <c r="CA74" s="268"/>
      <c r="CB74" s="268" t="s">
        <v>177</v>
      </c>
      <c r="CC74" s="682"/>
      <c r="CD74" s="81"/>
      <c r="CE74" s="384">
        <v>44593</v>
      </c>
      <c r="CF74" s="379"/>
      <c r="CG74" s="501">
        <f t="shared" si="159"/>
        <v>1486.4333333333334</v>
      </c>
      <c r="CH74" s="262">
        <v>16</v>
      </c>
      <c r="CI74" s="262">
        <f t="shared" si="181"/>
        <v>17</v>
      </c>
      <c r="CJ74" s="257">
        <f t="shared" si="160"/>
        <v>17</v>
      </c>
      <c r="CK74" s="257">
        <f t="shared" si="161"/>
        <v>19</v>
      </c>
      <c r="CL74" s="257">
        <f t="shared" si="162"/>
        <v>1</v>
      </c>
      <c r="CM74" s="257">
        <f t="shared" si="163"/>
        <v>2</v>
      </c>
      <c r="CN74" s="248"/>
      <c r="CO74" s="263">
        <f t="shared" si="182"/>
        <v>0</v>
      </c>
      <c r="CP74" s="132"/>
      <c r="CQ74" s="524">
        <f t="shared" si="164"/>
        <v>45078</v>
      </c>
      <c r="CR74" s="446">
        <f t="shared" si="185"/>
        <v>45108</v>
      </c>
      <c r="CS74" s="458"/>
      <c r="CT74" s="198"/>
      <c r="CU74" s="198"/>
      <c r="CV74" s="650">
        <f t="shared" si="132"/>
        <v>45139</v>
      </c>
      <c r="CW74" s="446">
        <f t="shared" si="186"/>
        <v>45170</v>
      </c>
      <c r="CX74" s="458"/>
      <c r="CY74" s="292"/>
      <c r="CZ74" s="127"/>
      <c r="DA74" s="127"/>
      <c r="DB74" s="127"/>
      <c r="DC74" s="127"/>
      <c r="DD74" s="127"/>
      <c r="DE74" s="56"/>
      <c r="DF74" s="56"/>
      <c r="DG74" s="56"/>
      <c r="DH74" s="56"/>
      <c r="DI74" s="56"/>
      <c r="DJ74" s="56"/>
      <c r="DK74" s="56"/>
      <c r="DL74" s="56"/>
      <c r="DM74" s="56"/>
      <c r="DN74" s="56"/>
      <c r="DO74" s="56"/>
      <c r="DP74" s="56"/>
      <c r="DQ74" s="56"/>
      <c r="DR74" s="56"/>
      <c r="DS74" s="613"/>
      <c r="DT74" s="611"/>
      <c r="DU74" s="611"/>
      <c r="DV74" s="615" t="str">
        <f t="shared" ref="DV74:DV77" si="195">IF(AND(DT74&gt;0,DU74&gt;0),DU74-DT74,"0")</f>
        <v>0</v>
      </c>
      <c r="DW74" s="613"/>
      <c r="DX74" s="613"/>
      <c r="DY74" s="615" t="str">
        <f t="shared" si="166"/>
        <v>0</v>
      </c>
      <c r="DZ74" s="616"/>
      <c r="EA74" s="610"/>
      <c r="EB74" s="615" t="str">
        <f t="shared" si="167"/>
        <v>0</v>
      </c>
      <c r="EC74" s="616"/>
      <c r="ED74" s="610"/>
      <c r="EE74" s="615" t="str">
        <f t="shared" si="168"/>
        <v>0</v>
      </c>
      <c r="EF74" s="616"/>
      <c r="EG74" s="617"/>
      <c r="EH74" s="615" t="str">
        <f t="shared" si="169"/>
        <v>0</v>
      </c>
      <c r="EI74" s="614"/>
      <c r="EJ74" s="594"/>
      <c r="EK74" s="595"/>
      <c r="EL74" s="596" t="str">
        <f t="shared" si="170"/>
        <v>0</v>
      </c>
      <c r="EM74" s="594"/>
      <c r="EN74" s="595"/>
      <c r="EO74" s="596" t="str">
        <f t="shared" si="171"/>
        <v>0</v>
      </c>
      <c r="EP74" s="594"/>
      <c r="EQ74" s="595"/>
      <c r="ER74" s="596" t="str">
        <f t="shared" si="172"/>
        <v>0</v>
      </c>
      <c r="ES74" s="594"/>
      <c r="ET74" s="622"/>
      <c r="EU74" s="597" t="str">
        <f t="shared" si="173"/>
        <v>0</v>
      </c>
      <c r="EV74" s="598"/>
      <c r="EW74" s="599"/>
      <c r="EX74" s="596" t="str">
        <f t="shared" si="174"/>
        <v>0</v>
      </c>
      <c r="EY74" s="595"/>
      <c r="EZ74" s="600"/>
      <c r="FA74" s="596" t="str">
        <f t="shared" si="175"/>
        <v>0</v>
      </c>
      <c r="FB74" s="602"/>
      <c r="FC74" s="602"/>
      <c r="FD74" s="596" t="str">
        <f t="shared" si="176"/>
        <v>0</v>
      </c>
      <c r="FE74" s="602"/>
      <c r="FF74" s="602"/>
      <c r="FG74" s="596" t="str">
        <f t="shared" si="177"/>
        <v>0</v>
      </c>
      <c r="FH74" s="602"/>
      <c r="FI74" s="602"/>
      <c r="FJ74" s="596" t="str">
        <f t="shared" si="178"/>
        <v>0</v>
      </c>
      <c r="FK74" s="602"/>
      <c r="FL74" s="602"/>
      <c r="FM74" s="602"/>
      <c r="FN74" s="602"/>
      <c r="FO74" s="600">
        <f t="shared" si="187"/>
        <v>45108</v>
      </c>
      <c r="FP74" s="598">
        <f t="shared" si="144"/>
        <v>0</v>
      </c>
      <c r="FQ74" s="602"/>
      <c r="FR74" s="600">
        <f t="shared" si="188"/>
        <v>45170</v>
      </c>
      <c r="FS74" s="627"/>
      <c r="FT74" s="627"/>
      <c r="FU74" s="627"/>
      <c r="FV74" s="627"/>
      <c r="FW74" s="628">
        <f t="shared" si="179"/>
        <v>0</v>
      </c>
      <c r="FX74" s="628">
        <f t="shared" si="120"/>
        <v>1505.6666666666667</v>
      </c>
      <c r="FY74" s="624"/>
      <c r="FZ74" s="641"/>
      <c r="GA74" s="624"/>
      <c r="GB74" s="624"/>
      <c r="GC74" s="118"/>
      <c r="GD74" s="118"/>
      <c r="GE74" s="96">
        <f t="shared" si="189"/>
        <v>0</v>
      </c>
      <c r="GF74" s="70">
        <f>GP74+GT74+HA74+HT74+HB74+HE74</f>
        <v>0</v>
      </c>
      <c r="GG74" s="97">
        <f t="shared" si="190"/>
        <v>0</v>
      </c>
      <c r="GH74" s="52" t="e">
        <f t="shared" si="145"/>
        <v>#DIV/0!</v>
      </c>
      <c r="GI74" s="52">
        <f t="shared" si="146"/>
        <v>0</v>
      </c>
      <c r="GJ74" s="96"/>
      <c r="GK74" s="70"/>
      <c r="GL74" s="97">
        <f t="shared" si="191"/>
        <v>0</v>
      </c>
      <c r="GM74" s="138" t="e">
        <f t="shared" si="192"/>
        <v>#DIV/0!</v>
      </c>
      <c r="GN74" s="138">
        <v>0.4</v>
      </c>
      <c r="GO74" s="96"/>
      <c r="GP74" s="70"/>
      <c r="GQ74" s="52">
        <f t="shared" si="147"/>
        <v>0</v>
      </c>
      <c r="GR74" s="98"/>
      <c r="GS74" s="96"/>
      <c r="GT74" s="70">
        <f t="shared" ref="GT74:GT77" si="196">GU74+GV74</f>
        <v>0</v>
      </c>
      <c r="GU74" s="90"/>
      <c r="GV74" s="90"/>
      <c r="GW74" s="98">
        <f t="shared" si="193"/>
        <v>0</v>
      </c>
      <c r="GX74" s="52">
        <f t="shared" si="148"/>
        <v>0</v>
      </c>
      <c r="GY74" s="70"/>
      <c r="GZ74" s="96"/>
      <c r="HA74" s="70"/>
      <c r="HB74" s="70"/>
      <c r="HC74" s="91" t="e">
        <f t="shared" si="149"/>
        <v>#DIV/0!</v>
      </c>
      <c r="HD74" s="329"/>
      <c r="HE74" s="70"/>
      <c r="HF74" s="92">
        <f t="shared" si="139"/>
        <v>0</v>
      </c>
      <c r="HG74" s="49">
        <f t="shared" si="150"/>
        <v>0</v>
      </c>
      <c r="HH74" s="84">
        <f t="shared" si="151"/>
        <v>0</v>
      </c>
      <c r="HI74" s="92">
        <f t="shared" si="118"/>
        <v>0</v>
      </c>
      <c r="HJ74" s="279">
        <v>6.31</v>
      </c>
      <c r="HK74" s="279"/>
      <c r="HL74" s="94"/>
      <c r="HM74" s="94"/>
      <c r="HN74" s="52">
        <f t="shared" si="137"/>
        <v>0</v>
      </c>
      <c r="HO74" s="94"/>
      <c r="HP74" s="52">
        <f t="shared" si="194"/>
        <v>0</v>
      </c>
      <c r="HQ74" s="53" t="e">
        <f t="shared" si="138"/>
        <v>#DIV/0!</v>
      </c>
      <c r="HR74" s="94"/>
      <c r="HS74" s="94"/>
      <c r="HT74" s="70"/>
      <c r="HU74" s="42">
        <f t="shared" si="157"/>
        <v>0</v>
      </c>
      <c r="HV74" s="296"/>
      <c r="HW74" s="296">
        <f t="shared" si="180"/>
        <v>0</v>
      </c>
      <c r="HX74" s="297"/>
      <c r="HY74" s="300">
        <v>0</v>
      </c>
      <c r="HZ74" s="300"/>
      <c r="IA74" s="272"/>
      <c r="IB74" s="272"/>
      <c r="IC74" s="424">
        <v>0</v>
      </c>
      <c r="ID74" s="281"/>
      <c r="IE74" s="293">
        <v>0</v>
      </c>
      <c r="IF74" s="281"/>
      <c r="IG74" s="523"/>
      <c r="IH74" s="298"/>
      <c r="II74" s="303"/>
      <c r="IJ74" s="301"/>
      <c r="IK74" s="301"/>
      <c r="IL74" s="295"/>
      <c r="IM74" s="296"/>
      <c r="IN74" s="295"/>
      <c r="IO74" s="296"/>
      <c r="IP74" s="326"/>
      <c r="IQ74" s="326"/>
      <c r="IR74" s="326"/>
      <c r="IS74" s="326"/>
      <c r="IT74" s="289"/>
      <c r="IU74" s="289"/>
      <c r="IV74" s="289"/>
      <c r="IW74" s="289"/>
      <c r="IX74" s="289"/>
      <c r="IY74" s="289"/>
      <c r="IZ74" s="300" t="e">
        <f t="shared" si="184"/>
        <v>#VALUE!</v>
      </c>
      <c r="JA74" s="123"/>
      <c r="JB74" s="298"/>
      <c r="JC74" s="123"/>
      <c r="JD74" s="127"/>
      <c r="JE74" s="298"/>
    </row>
    <row r="75" spans="1:265" ht="24.95" customHeight="1">
      <c r="A75" s="318" t="s">
        <v>506</v>
      </c>
      <c r="B75" s="56" t="s">
        <v>35</v>
      </c>
      <c r="C75" s="56" t="s">
        <v>117</v>
      </c>
      <c r="D75" s="56">
        <v>2019</v>
      </c>
      <c r="E75" s="56"/>
      <c r="F75" s="56" t="s">
        <v>488</v>
      </c>
      <c r="G75" s="56" t="s">
        <v>189</v>
      </c>
      <c r="H75" s="56" t="s">
        <v>455</v>
      </c>
      <c r="I75" s="56"/>
      <c r="J75" s="56" t="s">
        <v>534</v>
      </c>
      <c r="K75" s="275" t="s">
        <v>520</v>
      </c>
      <c r="L75" s="178" t="s">
        <v>64</v>
      </c>
      <c r="M75" s="179" t="s">
        <v>533</v>
      </c>
      <c r="N75" s="180">
        <v>35571</v>
      </c>
      <c r="O75" s="245"/>
      <c r="P75" s="245"/>
      <c r="Q75" s="245"/>
      <c r="R75" s="245"/>
      <c r="S75" s="245"/>
      <c r="T75" s="719"/>
      <c r="U75" s="719"/>
      <c r="V75" s="719"/>
      <c r="W75" s="245"/>
      <c r="X75" s="220"/>
      <c r="Y75" s="221"/>
      <c r="Z75" s="220"/>
      <c r="AA75" s="220"/>
      <c r="AB75" s="221"/>
      <c r="AC75" s="56" t="s">
        <v>487</v>
      </c>
      <c r="AD75" s="345">
        <f t="shared" si="158"/>
        <v>38</v>
      </c>
      <c r="AE75" s="67"/>
      <c r="AF75" s="120"/>
      <c r="AG75" s="120"/>
      <c r="AH75" s="205">
        <v>38</v>
      </c>
      <c r="AI75" s="60"/>
      <c r="AJ75" s="95"/>
      <c r="AK75" s="60"/>
      <c r="AL75" s="81"/>
      <c r="AM75" s="81"/>
      <c r="AN75" s="81"/>
      <c r="AO75" s="81"/>
      <c r="AP75" s="81"/>
      <c r="AQ75" s="60"/>
      <c r="AR75" s="79"/>
      <c r="AS75" s="81"/>
      <c r="AT75" s="60"/>
      <c r="AU75" s="56"/>
      <c r="AV75" s="56"/>
      <c r="AW75" s="56"/>
      <c r="AX75" s="56"/>
      <c r="AY75" s="115"/>
      <c r="AZ75" s="115"/>
      <c r="BA75" s="100"/>
      <c r="BB75" s="216"/>
      <c r="BC75" s="102"/>
      <c r="BD75" s="102"/>
      <c r="BE75" s="216"/>
      <c r="BF75" s="102"/>
      <c r="BG75" s="172"/>
      <c r="BH75" s="215"/>
      <c r="BI75" s="172"/>
      <c r="BJ75" s="172"/>
      <c r="BK75" s="103"/>
      <c r="BL75" s="200">
        <f t="shared" si="130"/>
        <v>731</v>
      </c>
      <c r="BM75" s="200">
        <f t="shared" si="131"/>
        <v>1096</v>
      </c>
      <c r="BN75" s="200"/>
      <c r="BO75" s="172"/>
      <c r="BP75" s="177"/>
      <c r="BQ75" s="103"/>
      <c r="BR75" s="104"/>
      <c r="BS75" s="104"/>
      <c r="BT75" s="104"/>
      <c r="BU75" s="170"/>
      <c r="BV75" s="268"/>
      <c r="BW75" s="268"/>
      <c r="BX75" s="169"/>
      <c r="BY75" s="268"/>
      <c r="BZ75" s="268"/>
      <c r="CA75" s="268"/>
      <c r="CB75" s="450"/>
      <c r="CC75" s="450"/>
      <c r="CD75" s="509"/>
      <c r="CE75" s="384">
        <v>43845</v>
      </c>
      <c r="CF75" s="377"/>
      <c r="CG75" s="494">
        <f t="shared" si="159"/>
        <v>1461.5</v>
      </c>
      <c r="CH75" s="262">
        <v>12</v>
      </c>
      <c r="CI75" s="262">
        <f t="shared" si="181"/>
        <v>13</v>
      </c>
      <c r="CJ75" s="257">
        <f t="shared" si="160"/>
        <v>13</v>
      </c>
      <c r="CK75" s="257">
        <f t="shared" si="161"/>
        <v>15</v>
      </c>
      <c r="CL75" s="257">
        <f t="shared" si="162"/>
        <v>1</v>
      </c>
      <c r="CM75" s="257">
        <f t="shared" si="163"/>
        <v>2</v>
      </c>
      <c r="CN75" s="263"/>
      <c r="CO75" s="263">
        <f t="shared" si="182"/>
        <v>0</v>
      </c>
      <c r="CP75" s="258"/>
      <c r="CQ75" s="699">
        <f t="shared" si="164"/>
        <v>44211</v>
      </c>
      <c r="CR75" s="446">
        <f t="shared" si="185"/>
        <v>44242</v>
      </c>
      <c r="CS75" s="458"/>
      <c r="CT75" s="198"/>
      <c r="CU75" s="198"/>
      <c r="CV75" s="650">
        <f t="shared" si="132"/>
        <v>44270</v>
      </c>
      <c r="CW75" s="446">
        <f t="shared" si="186"/>
        <v>44301</v>
      </c>
      <c r="CX75" s="458"/>
      <c r="CY75" s="123"/>
      <c r="CZ75" s="127"/>
      <c r="DA75" s="127"/>
      <c r="DB75" s="127"/>
      <c r="DC75" s="127"/>
      <c r="DD75" s="127"/>
      <c r="DE75" s="56"/>
      <c r="DF75" s="56"/>
      <c r="DG75" s="56"/>
      <c r="DH75" s="56"/>
      <c r="DI75" s="56"/>
      <c r="DJ75" s="56"/>
      <c r="DK75" s="56"/>
      <c r="DL75" s="56"/>
      <c r="DM75" s="56"/>
      <c r="DN75" s="56"/>
      <c r="DO75" s="56"/>
      <c r="DP75" s="56"/>
      <c r="DQ75" s="56"/>
      <c r="DR75" s="56"/>
      <c r="DS75" s="610"/>
      <c r="DT75" s="611"/>
      <c r="DU75" s="611"/>
      <c r="DV75" s="615" t="str">
        <f t="shared" si="195"/>
        <v>0</v>
      </c>
      <c r="DW75" s="613"/>
      <c r="DX75" s="613"/>
      <c r="DY75" s="615" t="str">
        <f t="shared" si="166"/>
        <v>0</v>
      </c>
      <c r="DZ75" s="616"/>
      <c r="EA75" s="610"/>
      <c r="EB75" s="615" t="str">
        <f t="shared" si="167"/>
        <v>0</v>
      </c>
      <c r="EC75" s="616"/>
      <c r="ED75" s="610"/>
      <c r="EE75" s="615" t="str">
        <f t="shared" si="168"/>
        <v>0</v>
      </c>
      <c r="EF75" s="616"/>
      <c r="EG75" s="617"/>
      <c r="EH75" s="615" t="str">
        <f t="shared" si="169"/>
        <v>0</v>
      </c>
      <c r="EI75" s="618"/>
      <c r="EJ75" s="594"/>
      <c r="EK75" s="595"/>
      <c r="EL75" s="596" t="str">
        <f t="shared" si="170"/>
        <v>0</v>
      </c>
      <c r="EM75" s="594"/>
      <c r="EN75" s="595"/>
      <c r="EO75" s="596" t="str">
        <f t="shared" si="171"/>
        <v>0</v>
      </c>
      <c r="EP75" s="594"/>
      <c r="EQ75" s="595"/>
      <c r="ER75" s="596" t="str">
        <f t="shared" si="172"/>
        <v>0</v>
      </c>
      <c r="ES75" s="594"/>
      <c r="ET75" s="622"/>
      <c r="EU75" s="597" t="str">
        <f t="shared" si="173"/>
        <v>0</v>
      </c>
      <c r="EV75" s="598"/>
      <c r="EW75" s="599"/>
      <c r="EX75" s="596" t="str">
        <f t="shared" si="174"/>
        <v>0</v>
      </c>
      <c r="EY75" s="595"/>
      <c r="EZ75" s="600"/>
      <c r="FA75" s="596" t="str">
        <f t="shared" si="175"/>
        <v>0</v>
      </c>
      <c r="FB75" s="602"/>
      <c r="FC75" s="602"/>
      <c r="FD75" s="596" t="str">
        <f t="shared" si="176"/>
        <v>0</v>
      </c>
      <c r="FE75" s="602"/>
      <c r="FF75" s="602"/>
      <c r="FG75" s="596" t="str">
        <f t="shared" si="177"/>
        <v>0</v>
      </c>
      <c r="FH75" s="602"/>
      <c r="FI75" s="602"/>
      <c r="FJ75" s="596" t="str">
        <f t="shared" si="178"/>
        <v>0</v>
      </c>
      <c r="FK75" s="602"/>
      <c r="FL75" s="602"/>
      <c r="FM75" s="602"/>
      <c r="FN75" s="602"/>
      <c r="FO75" s="600">
        <f t="shared" si="187"/>
        <v>44242</v>
      </c>
      <c r="FP75" s="598">
        <f t="shared" si="144"/>
        <v>0</v>
      </c>
      <c r="FQ75" s="602"/>
      <c r="FR75" s="600">
        <f t="shared" si="188"/>
        <v>44301</v>
      </c>
      <c r="FS75" s="627"/>
      <c r="FT75" s="627"/>
      <c r="FU75" s="627"/>
      <c r="FV75" s="627"/>
      <c r="FW75" s="628">
        <f t="shared" si="179"/>
        <v>0</v>
      </c>
      <c r="FX75" s="628">
        <f t="shared" si="120"/>
        <v>1476.7</v>
      </c>
      <c r="FY75" s="624"/>
      <c r="FZ75" s="641"/>
      <c r="GA75" s="624"/>
      <c r="GB75" s="624"/>
      <c r="GC75" s="118"/>
      <c r="GD75" s="118"/>
      <c r="GE75" s="426">
        <f t="shared" si="189"/>
        <v>5522950</v>
      </c>
      <c r="GF75" s="426"/>
      <c r="GG75" s="426">
        <f t="shared" si="190"/>
        <v>-5522950</v>
      </c>
      <c r="GH75" s="426" t="e">
        <f t="shared" si="145"/>
        <v>#DIV/0!</v>
      </c>
      <c r="GI75" s="426">
        <f t="shared" si="146"/>
        <v>145340.78947368421</v>
      </c>
      <c r="GJ75" s="426"/>
      <c r="GK75" s="426"/>
      <c r="GL75" s="426">
        <f t="shared" si="191"/>
        <v>0</v>
      </c>
      <c r="GM75" s="112" t="e">
        <f t="shared" si="192"/>
        <v>#DIV/0!</v>
      </c>
      <c r="GN75" s="112">
        <v>0.4</v>
      </c>
      <c r="GO75" s="426">
        <v>1883035</v>
      </c>
      <c r="GP75" s="426"/>
      <c r="GQ75" s="426">
        <f t="shared" si="147"/>
        <v>49553.552631578947</v>
      </c>
      <c r="GR75" s="426"/>
      <c r="GS75" s="426">
        <v>3389915</v>
      </c>
      <c r="GT75" s="426">
        <f t="shared" si="196"/>
        <v>0</v>
      </c>
      <c r="GU75" s="426"/>
      <c r="GV75" s="426"/>
      <c r="GW75" s="426">
        <f t="shared" si="193"/>
        <v>-3389915</v>
      </c>
      <c r="GX75" s="426">
        <f t="shared" si="148"/>
        <v>89208.289473684214</v>
      </c>
      <c r="GY75" s="426"/>
      <c r="GZ75" s="426">
        <v>250000</v>
      </c>
      <c r="HA75" s="426"/>
      <c r="HB75" s="426"/>
      <c r="HC75" s="433">
        <f t="shared" si="149"/>
        <v>4.5265664183090561E-2</v>
      </c>
      <c r="HD75" s="433"/>
      <c r="HE75" s="426"/>
      <c r="HF75" s="426">
        <f t="shared" si="139"/>
        <v>-250000</v>
      </c>
      <c r="HG75" s="427">
        <f t="shared" si="150"/>
        <v>6578.9473684210525</v>
      </c>
      <c r="HH75" s="429">
        <f t="shared" si="151"/>
        <v>56132.5</v>
      </c>
      <c r="HI75" s="426">
        <f t="shared" si="118"/>
        <v>-6578.9473684210525</v>
      </c>
      <c r="HJ75" s="430">
        <v>6.31</v>
      </c>
      <c r="HK75" s="430"/>
      <c r="HL75" s="426"/>
      <c r="HM75" s="426"/>
      <c r="HN75" s="426">
        <f t="shared" si="137"/>
        <v>56132.5</v>
      </c>
      <c r="HO75" s="426"/>
      <c r="HP75" s="426">
        <f t="shared" si="194"/>
        <v>0</v>
      </c>
      <c r="HQ75" s="112">
        <f t="shared" si="138"/>
        <v>0.38621298400311427</v>
      </c>
      <c r="HR75" s="426"/>
      <c r="HS75" s="426"/>
      <c r="HT75" s="426"/>
      <c r="HU75" s="431">
        <f t="shared" si="157"/>
        <v>5522950</v>
      </c>
      <c r="HV75" s="296"/>
      <c r="HW75" s="296">
        <f t="shared" si="180"/>
        <v>0</v>
      </c>
      <c r="HX75" s="297"/>
      <c r="HY75" s="300">
        <v>0</v>
      </c>
      <c r="HZ75" s="300"/>
      <c r="IA75" s="272"/>
      <c r="IB75" s="272"/>
      <c r="IC75" s="424">
        <v>0</v>
      </c>
      <c r="ID75" s="281"/>
      <c r="IE75" s="293">
        <v>0</v>
      </c>
      <c r="IF75" s="281"/>
      <c r="IG75" s="523"/>
      <c r="IH75" s="298"/>
      <c r="II75" s="303"/>
      <c r="IJ75" s="301"/>
      <c r="IK75" s="301"/>
      <c r="IL75" s="295"/>
      <c r="IM75" s="296"/>
      <c r="IN75" s="295"/>
      <c r="IO75" s="296"/>
      <c r="IP75" s="326"/>
      <c r="IQ75" s="326"/>
      <c r="IR75" s="326"/>
      <c r="IS75" s="326"/>
      <c r="IT75" s="289"/>
      <c r="IU75" s="289"/>
      <c r="IV75" s="289"/>
      <c r="IW75" s="289"/>
      <c r="IX75" s="289"/>
      <c r="IY75" s="289"/>
      <c r="IZ75" s="300" t="e">
        <f t="shared" si="184"/>
        <v>#VALUE!</v>
      </c>
      <c r="JA75" s="123"/>
      <c r="JB75" s="298"/>
      <c r="JC75" s="123"/>
      <c r="JD75" s="123"/>
      <c r="JE75" s="298"/>
    </row>
    <row r="76" spans="1:265" ht="24.95" customHeight="1">
      <c r="A76" s="318" t="s">
        <v>511</v>
      </c>
      <c r="B76" s="56" t="s">
        <v>28</v>
      </c>
      <c r="C76" s="56" t="s">
        <v>117</v>
      </c>
      <c r="D76" s="56">
        <v>2019</v>
      </c>
      <c r="E76" s="56"/>
      <c r="F76" s="56" t="s">
        <v>488</v>
      </c>
      <c r="G76" s="56" t="s">
        <v>189</v>
      </c>
      <c r="H76" s="56" t="s">
        <v>455</v>
      </c>
      <c r="I76" s="56"/>
      <c r="J76" s="56" t="s">
        <v>539</v>
      </c>
      <c r="K76" s="275" t="s">
        <v>537</v>
      </c>
      <c r="L76" s="178" t="s">
        <v>64</v>
      </c>
      <c r="M76" s="331" t="s">
        <v>535</v>
      </c>
      <c r="N76" s="332" t="s">
        <v>536</v>
      </c>
      <c r="O76" s="245"/>
      <c r="P76" s="245"/>
      <c r="Q76" s="245"/>
      <c r="R76" s="245"/>
      <c r="S76" s="245"/>
      <c r="T76" s="719"/>
      <c r="U76" s="719"/>
      <c r="V76" s="719"/>
      <c r="W76" s="245"/>
      <c r="X76" s="220"/>
      <c r="Y76" s="221"/>
      <c r="Z76" s="220"/>
      <c r="AA76" s="220"/>
      <c r="AB76" s="221"/>
      <c r="AC76" s="56" t="s">
        <v>487</v>
      </c>
      <c r="AD76" s="345">
        <f t="shared" si="158"/>
        <v>30</v>
      </c>
      <c r="AE76" s="67"/>
      <c r="AF76" s="120"/>
      <c r="AG76" s="120"/>
      <c r="AH76" s="205">
        <v>30</v>
      </c>
      <c r="AI76" s="60"/>
      <c r="AJ76" s="95"/>
      <c r="AK76" s="60"/>
      <c r="AL76" s="81"/>
      <c r="AM76" s="81"/>
      <c r="AN76" s="81"/>
      <c r="AO76" s="81"/>
      <c r="AP76" s="81"/>
      <c r="AQ76" s="60"/>
      <c r="AR76" s="79"/>
      <c r="AS76" s="81"/>
      <c r="AT76" s="60"/>
      <c r="AU76" s="56"/>
      <c r="AV76" s="56"/>
      <c r="AW76" s="56"/>
      <c r="AX76" s="56"/>
      <c r="AY76" s="115"/>
      <c r="AZ76" s="115"/>
      <c r="BA76" s="100"/>
      <c r="BB76" s="216"/>
      <c r="BC76" s="102"/>
      <c r="BD76" s="102"/>
      <c r="BE76" s="216"/>
      <c r="BF76" s="102"/>
      <c r="BG76" s="172"/>
      <c r="BH76" s="215"/>
      <c r="BI76" s="172"/>
      <c r="BJ76" s="172"/>
      <c r="BK76" s="103"/>
      <c r="BL76" s="200">
        <f t="shared" si="130"/>
        <v>731</v>
      </c>
      <c r="BM76" s="200">
        <f t="shared" si="131"/>
        <v>1096</v>
      </c>
      <c r="BN76" s="200"/>
      <c r="BO76" s="172"/>
      <c r="BP76" s="177"/>
      <c r="BQ76" s="103"/>
      <c r="BR76" s="104"/>
      <c r="BS76" s="104"/>
      <c r="BT76" s="104"/>
      <c r="BU76" s="170"/>
      <c r="BV76" s="268"/>
      <c r="BW76" s="268"/>
      <c r="BX76" s="169"/>
      <c r="BY76" s="268"/>
      <c r="BZ76" s="268"/>
      <c r="CA76" s="268"/>
      <c r="CB76" s="450"/>
      <c r="CC76" s="450"/>
      <c r="CD76" s="509"/>
      <c r="CE76" s="384">
        <v>43845</v>
      </c>
      <c r="CF76" s="377"/>
      <c r="CG76" s="494">
        <f t="shared" si="159"/>
        <v>1461.5</v>
      </c>
      <c r="CH76" s="262">
        <v>12</v>
      </c>
      <c r="CI76" s="262">
        <f t="shared" si="181"/>
        <v>13</v>
      </c>
      <c r="CJ76" s="257">
        <f t="shared" si="160"/>
        <v>13</v>
      </c>
      <c r="CK76" s="257">
        <f t="shared" si="161"/>
        <v>15</v>
      </c>
      <c r="CL76" s="257">
        <f t="shared" si="162"/>
        <v>1</v>
      </c>
      <c r="CM76" s="257">
        <f t="shared" si="163"/>
        <v>2</v>
      </c>
      <c r="CN76" s="263"/>
      <c r="CO76" s="263">
        <f t="shared" si="182"/>
        <v>0</v>
      </c>
      <c r="CP76" s="258"/>
      <c r="CQ76" s="699">
        <f t="shared" si="164"/>
        <v>44211</v>
      </c>
      <c r="CR76" s="446">
        <f t="shared" si="185"/>
        <v>44242</v>
      </c>
      <c r="CS76" s="458"/>
      <c r="CT76" s="198"/>
      <c r="CU76" s="198"/>
      <c r="CV76" s="650">
        <f t="shared" si="132"/>
        <v>44270</v>
      </c>
      <c r="CW76" s="446">
        <f t="shared" si="186"/>
        <v>44301</v>
      </c>
      <c r="CX76" s="458"/>
      <c r="CY76" s="123"/>
      <c r="CZ76" s="127"/>
      <c r="DA76" s="127"/>
      <c r="DB76" s="127"/>
      <c r="DC76" s="127"/>
      <c r="DD76" s="127"/>
      <c r="DE76" s="56"/>
      <c r="DF76" s="56"/>
      <c r="DG76" s="56"/>
      <c r="DH76" s="56"/>
      <c r="DI76" s="56"/>
      <c r="DJ76" s="56"/>
      <c r="DK76" s="56"/>
      <c r="DL76" s="56"/>
      <c r="DM76" s="56"/>
      <c r="DN76" s="56"/>
      <c r="DO76" s="56"/>
      <c r="DP76" s="56"/>
      <c r="DQ76" s="56"/>
      <c r="DR76" s="56"/>
      <c r="DS76" s="610"/>
      <c r="DT76" s="611"/>
      <c r="DU76" s="611"/>
      <c r="DV76" s="615" t="str">
        <f t="shared" si="195"/>
        <v>0</v>
      </c>
      <c r="DW76" s="613"/>
      <c r="DX76" s="613"/>
      <c r="DY76" s="615" t="str">
        <f t="shared" si="166"/>
        <v>0</v>
      </c>
      <c r="DZ76" s="616"/>
      <c r="EA76" s="610"/>
      <c r="EB76" s="615" t="str">
        <f t="shared" si="167"/>
        <v>0</v>
      </c>
      <c r="EC76" s="616"/>
      <c r="ED76" s="610"/>
      <c r="EE76" s="615" t="str">
        <f t="shared" si="168"/>
        <v>0</v>
      </c>
      <c r="EF76" s="616"/>
      <c r="EG76" s="617"/>
      <c r="EH76" s="615" t="str">
        <f t="shared" si="169"/>
        <v>0</v>
      </c>
      <c r="EI76" s="618"/>
      <c r="EJ76" s="594"/>
      <c r="EK76" s="595"/>
      <c r="EL76" s="596" t="str">
        <f t="shared" si="170"/>
        <v>0</v>
      </c>
      <c r="EM76" s="594"/>
      <c r="EN76" s="595"/>
      <c r="EO76" s="596" t="str">
        <f t="shared" si="171"/>
        <v>0</v>
      </c>
      <c r="EP76" s="594"/>
      <c r="EQ76" s="595"/>
      <c r="ER76" s="596" t="str">
        <f t="shared" si="172"/>
        <v>0</v>
      </c>
      <c r="ES76" s="594"/>
      <c r="ET76" s="622"/>
      <c r="EU76" s="597" t="str">
        <f t="shared" si="173"/>
        <v>0</v>
      </c>
      <c r="EV76" s="598"/>
      <c r="EW76" s="599"/>
      <c r="EX76" s="596" t="str">
        <f t="shared" si="174"/>
        <v>0</v>
      </c>
      <c r="EY76" s="595"/>
      <c r="EZ76" s="600"/>
      <c r="FA76" s="596" t="str">
        <f t="shared" si="175"/>
        <v>0</v>
      </c>
      <c r="FB76" s="602"/>
      <c r="FC76" s="602"/>
      <c r="FD76" s="596" t="str">
        <f t="shared" si="176"/>
        <v>0</v>
      </c>
      <c r="FE76" s="602"/>
      <c r="FF76" s="602"/>
      <c r="FG76" s="596" t="str">
        <f t="shared" si="177"/>
        <v>0</v>
      </c>
      <c r="FH76" s="602"/>
      <c r="FI76" s="602"/>
      <c r="FJ76" s="596" t="str">
        <f t="shared" si="178"/>
        <v>0</v>
      </c>
      <c r="FK76" s="602"/>
      <c r="FL76" s="602"/>
      <c r="FM76" s="602"/>
      <c r="FN76" s="602"/>
      <c r="FO76" s="600">
        <f t="shared" si="187"/>
        <v>44242</v>
      </c>
      <c r="FP76" s="598">
        <f t="shared" si="144"/>
        <v>0</v>
      </c>
      <c r="FQ76" s="602"/>
      <c r="FR76" s="600">
        <f t="shared" si="188"/>
        <v>44301</v>
      </c>
      <c r="FS76" s="627"/>
      <c r="FT76" s="627"/>
      <c r="FU76" s="627"/>
      <c r="FV76" s="627"/>
      <c r="FW76" s="628">
        <f t="shared" si="179"/>
        <v>0</v>
      </c>
      <c r="FX76" s="628">
        <f t="shared" si="120"/>
        <v>1476.7</v>
      </c>
      <c r="FY76" s="624"/>
      <c r="FZ76" s="641"/>
      <c r="GA76" s="624"/>
      <c r="GB76" s="624"/>
      <c r="GC76" s="118"/>
      <c r="GD76" s="118"/>
      <c r="GE76" s="426">
        <f t="shared" si="189"/>
        <v>5522950</v>
      </c>
      <c r="GF76" s="426"/>
      <c r="GG76" s="426">
        <f t="shared" si="190"/>
        <v>-5522950</v>
      </c>
      <c r="GH76" s="426" t="e">
        <f t="shared" si="145"/>
        <v>#DIV/0!</v>
      </c>
      <c r="GI76" s="426">
        <f t="shared" si="146"/>
        <v>184098.33333333334</v>
      </c>
      <c r="GJ76" s="426"/>
      <c r="GK76" s="426"/>
      <c r="GL76" s="426">
        <f t="shared" si="191"/>
        <v>0</v>
      </c>
      <c r="GM76" s="112" t="e">
        <f t="shared" si="192"/>
        <v>#DIV/0!</v>
      </c>
      <c r="GN76" s="112">
        <v>0.4</v>
      </c>
      <c r="GO76" s="426">
        <v>1883035</v>
      </c>
      <c r="GP76" s="426"/>
      <c r="GQ76" s="426">
        <f t="shared" si="147"/>
        <v>62767.833333333336</v>
      </c>
      <c r="GR76" s="426"/>
      <c r="GS76" s="426">
        <v>3389915</v>
      </c>
      <c r="GT76" s="426">
        <f t="shared" si="196"/>
        <v>0</v>
      </c>
      <c r="GU76" s="426"/>
      <c r="GV76" s="426"/>
      <c r="GW76" s="426">
        <f t="shared" si="193"/>
        <v>-3389915</v>
      </c>
      <c r="GX76" s="426">
        <f t="shared" si="148"/>
        <v>112997.16666666667</v>
      </c>
      <c r="GY76" s="426"/>
      <c r="GZ76" s="426">
        <v>250000</v>
      </c>
      <c r="HA76" s="426"/>
      <c r="HB76" s="426"/>
      <c r="HC76" s="433">
        <f t="shared" si="149"/>
        <v>4.5265664183090561E-2</v>
      </c>
      <c r="HD76" s="433"/>
      <c r="HE76" s="426"/>
      <c r="HF76" s="426">
        <f t="shared" si="139"/>
        <v>-250000</v>
      </c>
      <c r="HG76" s="427">
        <f t="shared" si="150"/>
        <v>8333.3333333333339</v>
      </c>
      <c r="HH76" s="429">
        <f t="shared" si="151"/>
        <v>71101.166666666672</v>
      </c>
      <c r="HI76" s="426">
        <f t="shared" si="118"/>
        <v>-8333.3333333333339</v>
      </c>
      <c r="HJ76" s="430">
        <v>6.31</v>
      </c>
      <c r="HK76" s="430"/>
      <c r="HL76" s="426"/>
      <c r="HM76" s="426"/>
      <c r="HN76" s="426">
        <f t="shared" si="137"/>
        <v>71101.166666666672</v>
      </c>
      <c r="HO76" s="426"/>
      <c r="HP76" s="426">
        <f t="shared" si="194"/>
        <v>0</v>
      </c>
      <c r="HQ76" s="112">
        <f t="shared" si="138"/>
        <v>0.38621298400311427</v>
      </c>
      <c r="HR76" s="426"/>
      <c r="HS76" s="426"/>
      <c r="HT76" s="426"/>
      <c r="HU76" s="431">
        <f t="shared" si="157"/>
        <v>5522950</v>
      </c>
      <c r="HV76" s="296"/>
      <c r="HW76" s="296">
        <f t="shared" si="180"/>
        <v>0</v>
      </c>
      <c r="HX76" s="297"/>
      <c r="HY76" s="300">
        <v>0</v>
      </c>
      <c r="HZ76" s="300"/>
      <c r="IA76" s="272"/>
      <c r="IB76" s="272"/>
      <c r="IC76" s="424">
        <v>0</v>
      </c>
      <c r="ID76" s="281"/>
      <c r="IE76" s="293">
        <v>0</v>
      </c>
      <c r="IF76" s="281"/>
      <c r="IG76" s="523"/>
      <c r="IH76" s="298"/>
      <c r="II76" s="303"/>
      <c r="IJ76" s="301"/>
      <c r="IK76" s="301"/>
      <c r="IL76" s="295"/>
      <c r="IM76" s="296"/>
      <c r="IN76" s="295"/>
      <c r="IO76" s="296"/>
      <c r="IP76" s="326"/>
      <c r="IQ76" s="326"/>
      <c r="IR76" s="326"/>
      <c r="IS76" s="326"/>
      <c r="IT76" s="289"/>
      <c r="IU76" s="289"/>
      <c r="IV76" s="289"/>
      <c r="IW76" s="289"/>
      <c r="IX76" s="289"/>
      <c r="IY76" s="289"/>
      <c r="IZ76" s="300" t="e">
        <f t="shared" si="184"/>
        <v>#VALUE!</v>
      </c>
      <c r="JA76" s="123"/>
      <c r="JB76" s="298"/>
      <c r="JC76" s="123"/>
      <c r="JD76" s="123"/>
      <c r="JE76" s="298"/>
    </row>
    <row r="77" spans="1:265" ht="21.75" customHeight="1">
      <c r="A77" s="318" t="s">
        <v>512</v>
      </c>
      <c r="B77" s="56" t="s">
        <v>28</v>
      </c>
      <c r="C77" s="56" t="s">
        <v>117</v>
      </c>
      <c r="D77" s="56">
        <v>2019</v>
      </c>
      <c r="E77" s="56"/>
      <c r="F77" s="56" t="s">
        <v>488</v>
      </c>
      <c r="G77" s="56"/>
      <c r="H77" s="56" t="s">
        <v>455</v>
      </c>
      <c r="I77" s="56"/>
      <c r="J77" s="56" t="s">
        <v>538</v>
      </c>
      <c r="K77" s="275" t="s">
        <v>537</v>
      </c>
      <c r="L77" s="178" t="s">
        <v>64</v>
      </c>
      <c r="M77" s="331" t="s">
        <v>535</v>
      </c>
      <c r="N77" s="332" t="s">
        <v>536</v>
      </c>
      <c r="O77" s="245"/>
      <c r="P77" s="245"/>
      <c r="Q77" s="245"/>
      <c r="R77" s="245"/>
      <c r="S77" s="245"/>
      <c r="T77" s="719"/>
      <c r="U77" s="719"/>
      <c r="V77" s="719"/>
      <c r="W77" s="245"/>
      <c r="X77" s="220"/>
      <c r="Y77" s="221"/>
      <c r="Z77" s="220"/>
      <c r="AA77" s="220"/>
      <c r="AB77" s="221"/>
      <c r="AC77" s="56" t="s">
        <v>487</v>
      </c>
      <c r="AD77" s="345">
        <f t="shared" si="158"/>
        <v>32</v>
      </c>
      <c r="AE77" s="67"/>
      <c r="AF77" s="120"/>
      <c r="AG77" s="120"/>
      <c r="AH77" s="205">
        <v>32</v>
      </c>
      <c r="AI77" s="60"/>
      <c r="AJ77" s="95"/>
      <c r="AK77" s="60"/>
      <c r="AL77" s="81"/>
      <c r="AM77" s="81"/>
      <c r="AN77" s="81"/>
      <c r="AO77" s="81"/>
      <c r="AP77" s="81"/>
      <c r="AQ77" s="60"/>
      <c r="AR77" s="79"/>
      <c r="AS77" s="81"/>
      <c r="AT77" s="60"/>
      <c r="AU77" s="56"/>
      <c r="AV77" s="56"/>
      <c r="AW77" s="56"/>
      <c r="AX77" s="56"/>
      <c r="AY77" s="115"/>
      <c r="AZ77" s="115"/>
      <c r="BA77" s="100"/>
      <c r="BB77" s="216"/>
      <c r="BC77" s="102"/>
      <c r="BD77" s="102"/>
      <c r="BE77" s="216"/>
      <c r="BF77" s="102"/>
      <c r="BG77" s="172"/>
      <c r="BH77" s="215"/>
      <c r="BI77" s="172"/>
      <c r="BJ77" s="172"/>
      <c r="BK77" s="103"/>
      <c r="BL77" s="200">
        <f t="shared" si="130"/>
        <v>731</v>
      </c>
      <c r="BM77" s="200">
        <f t="shared" si="131"/>
        <v>1096</v>
      </c>
      <c r="BN77" s="200"/>
      <c r="BO77" s="172"/>
      <c r="BP77" s="177"/>
      <c r="BQ77" s="103"/>
      <c r="BR77" s="104"/>
      <c r="BS77" s="104"/>
      <c r="BT77" s="104"/>
      <c r="BU77" s="170"/>
      <c r="BV77" s="268"/>
      <c r="BW77" s="268"/>
      <c r="BX77" s="169"/>
      <c r="BY77" s="268"/>
      <c r="BZ77" s="268"/>
      <c r="CA77" s="268"/>
      <c r="CB77" s="450"/>
      <c r="CC77" s="450"/>
      <c r="CD77" s="509"/>
      <c r="CE77" s="384">
        <v>43845</v>
      </c>
      <c r="CF77" s="377"/>
      <c r="CG77" s="494">
        <f t="shared" si="159"/>
        <v>1461.5</v>
      </c>
      <c r="CH77" s="262">
        <v>12</v>
      </c>
      <c r="CI77" s="262">
        <f t="shared" si="181"/>
        <v>13</v>
      </c>
      <c r="CJ77" s="257">
        <f t="shared" si="160"/>
        <v>13</v>
      </c>
      <c r="CK77" s="257">
        <f t="shared" si="161"/>
        <v>15</v>
      </c>
      <c r="CL77" s="257">
        <f t="shared" si="162"/>
        <v>1</v>
      </c>
      <c r="CM77" s="257">
        <f t="shared" si="163"/>
        <v>2</v>
      </c>
      <c r="CN77" s="263"/>
      <c r="CO77" s="263">
        <f t="shared" si="182"/>
        <v>0</v>
      </c>
      <c r="CP77" s="258"/>
      <c r="CQ77" s="699">
        <f t="shared" si="164"/>
        <v>44211</v>
      </c>
      <c r="CR77" s="446">
        <f t="shared" si="185"/>
        <v>44242</v>
      </c>
      <c r="CS77" s="458"/>
      <c r="CT77" s="198"/>
      <c r="CU77" s="198"/>
      <c r="CV77" s="650">
        <f t="shared" si="132"/>
        <v>44270</v>
      </c>
      <c r="CW77" s="446">
        <f t="shared" si="186"/>
        <v>44301</v>
      </c>
      <c r="CX77" s="458"/>
      <c r="CY77" s="123"/>
      <c r="CZ77" s="127"/>
      <c r="DA77" s="127"/>
      <c r="DB77" s="127"/>
      <c r="DC77" s="127"/>
      <c r="DD77" s="127"/>
      <c r="DE77" s="56"/>
      <c r="DF77" s="56"/>
      <c r="DG77" s="56"/>
      <c r="DH77" s="56"/>
      <c r="DI77" s="56"/>
      <c r="DJ77" s="56"/>
      <c r="DK77" s="56"/>
      <c r="DL77" s="56"/>
      <c r="DM77" s="56"/>
      <c r="DN77" s="56"/>
      <c r="DO77" s="56"/>
      <c r="DP77" s="56"/>
      <c r="DQ77" s="56"/>
      <c r="DR77" s="56"/>
      <c r="DS77" s="610"/>
      <c r="DT77" s="611"/>
      <c r="DU77" s="611"/>
      <c r="DV77" s="615" t="str">
        <f t="shared" si="195"/>
        <v>0</v>
      </c>
      <c r="DW77" s="613"/>
      <c r="DX77" s="613"/>
      <c r="DY77" s="615" t="str">
        <f t="shared" si="166"/>
        <v>0</v>
      </c>
      <c r="DZ77" s="616"/>
      <c r="EA77" s="610"/>
      <c r="EB77" s="615" t="str">
        <f t="shared" si="167"/>
        <v>0</v>
      </c>
      <c r="EC77" s="616"/>
      <c r="ED77" s="610"/>
      <c r="EE77" s="615" t="str">
        <f t="shared" si="168"/>
        <v>0</v>
      </c>
      <c r="EF77" s="616"/>
      <c r="EG77" s="617"/>
      <c r="EH77" s="615" t="str">
        <f t="shared" si="169"/>
        <v>0</v>
      </c>
      <c r="EI77" s="618"/>
      <c r="EJ77" s="594"/>
      <c r="EK77" s="595"/>
      <c r="EL77" s="596" t="str">
        <f t="shared" si="170"/>
        <v>0</v>
      </c>
      <c r="EM77" s="594"/>
      <c r="EN77" s="595"/>
      <c r="EO77" s="596" t="str">
        <f t="shared" si="171"/>
        <v>0</v>
      </c>
      <c r="EP77" s="594"/>
      <c r="EQ77" s="595"/>
      <c r="ER77" s="596" t="str">
        <f t="shared" si="172"/>
        <v>0</v>
      </c>
      <c r="ES77" s="594"/>
      <c r="ET77" s="622"/>
      <c r="EU77" s="597" t="str">
        <f t="shared" si="173"/>
        <v>0</v>
      </c>
      <c r="EV77" s="598"/>
      <c r="EW77" s="599"/>
      <c r="EX77" s="596" t="str">
        <f t="shared" si="174"/>
        <v>0</v>
      </c>
      <c r="EY77" s="595"/>
      <c r="EZ77" s="600"/>
      <c r="FA77" s="596" t="str">
        <f t="shared" si="175"/>
        <v>0</v>
      </c>
      <c r="FB77" s="602"/>
      <c r="FC77" s="602"/>
      <c r="FD77" s="596" t="str">
        <f t="shared" si="176"/>
        <v>0</v>
      </c>
      <c r="FE77" s="602"/>
      <c r="FF77" s="602"/>
      <c r="FG77" s="596" t="str">
        <f t="shared" si="177"/>
        <v>0</v>
      </c>
      <c r="FH77" s="602"/>
      <c r="FI77" s="602"/>
      <c r="FJ77" s="596" t="str">
        <f t="shared" si="178"/>
        <v>0</v>
      </c>
      <c r="FK77" s="602"/>
      <c r="FL77" s="602"/>
      <c r="FM77" s="602"/>
      <c r="FN77" s="602"/>
      <c r="FO77" s="600">
        <f t="shared" si="187"/>
        <v>44242</v>
      </c>
      <c r="FP77" s="598">
        <f t="shared" si="144"/>
        <v>0</v>
      </c>
      <c r="FQ77" s="602"/>
      <c r="FR77" s="600">
        <f t="shared" si="188"/>
        <v>44301</v>
      </c>
      <c r="FS77" s="627"/>
      <c r="FT77" s="627"/>
      <c r="FU77" s="627"/>
      <c r="FV77" s="627"/>
      <c r="FW77" s="628">
        <f t="shared" si="179"/>
        <v>0</v>
      </c>
      <c r="FX77" s="628">
        <f t="shared" si="120"/>
        <v>1476.7</v>
      </c>
      <c r="FY77" s="624"/>
      <c r="FZ77" s="641"/>
      <c r="GA77" s="624"/>
      <c r="GB77" s="624"/>
      <c r="GC77" s="118"/>
      <c r="GD77" s="118"/>
      <c r="GE77" s="426">
        <f t="shared" si="189"/>
        <v>5522950</v>
      </c>
      <c r="GF77" s="426"/>
      <c r="GG77" s="426">
        <f t="shared" si="190"/>
        <v>-5522950</v>
      </c>
      <c r="GH77" s="426" t="e">
        <f t="shared" si="145"/>
        <v>#DIV/0!</v>
      </c>
      <c r="GI77" s="426">
        <f t="shared" si="146"/>
        <v>172592.1875</v>
      </c>
      <c r="GJ77" s="426"/>
      <c r="GK77" s="426"/>
      <c r="GL77" s="426">
        <f t="shared" si="191"/>
        <v>0</v>
      </c>
      <c r="GM77" s="112" t="e">
        <f t="shared" si="192"/>
        <v>#DIV/0!</v>
      </c>
      <c r="GN77" s="112">
        <v>0.4</v>
      </c>
      <c r="GO77" s="426">
        <v>1883035</v>
      </c>
      <c r="GP77" s="426"/>
      <c r="GQ77" s="426">
        <f t="shared" si="147"/>
        <v>58844.84375</v>
      </c>
      <c r="GR77" s="426"/>
      <c r="GS77" s="426">
        <v>3389915</v>
      </c>
      <c r="GT77" s="426">
        <f t="shared" si="196"/>
        <v>0</v>
      </c>
      <c r="GU77" s="426"/>
      <c r="GV77" s="426"/>
      <c r="GW77" s="426">
        <f t="shared" si="193"/>
        <v>-3389915</v>
      </c>
      <c r="GX77" s="426">
        <f t="shared" si="148"/>
        <v>105934.84375</v>
      </c>
      <c r="GY77" s="426"/>
      <c r="GZ77" s="426">
        <v>250000</v>
      </c>
      <c r="HA77" s="426"/>
      <c r="HB77" s="426"/>
      <c r="HC77" s="433">
        <f t="shared" si="149"/>
        <v>4.5265664183090561E-2</v>
      </c>
      <c r="HD77" s="433"/>
      <c r="HE77" s="426"/>
      <c r="HF77" s="426">
        <f t="shared" si="139"/>
        <v>-250000</v>
      </c>
      <c r="HG77" s="427">
        <f t="shared" si="150"/>
        <v>7812.5</v>
      </c>
      <c r="HH77" s="429">
        <f t="shared" si="151"/>
        <v>66657.34375</v>
      </c>
      <c r="HI77" s="426">
        <f t="shared" si="118"/>
        <v>-7812.5</v>
      </c>
      <c r="HJ77" s="430">
        <v>6.31</v>
      </c>
      <c r="HK77" s="430"/>
      <c r="HL77" s="426"/>
      <c r="HM77" s="426"/>
      <c r="HN77" s="426">
        <f t="shared" si="137"/>
        <v>66657.34375</v>
      </c>
      <c r="HO77" s="426"/>
      <c r="HP77" s="426">
        <f t="shared" si="194"/>
        <v>0</v>
      </c>
      <c r="HQ77" s="112">
        <f t="shared" si="138"/>
        <v>0.38621298400311427</v>
      </c>
      <c r="HR77" s="426"/>
      <c r="HS77" s="426"/>
      <c r="HT77" s="426"/>
      <c r="HU77" s="434">
        <f t="shared" si="157"/>
        <v>5522950</v>
      </c>
      <c r="HV77" s="296"/>
      <c r="HW77" s="296">
        <f t="shared" si="180"/>
        <v>0</v>
      </c>
      <c r="HX77" s="297"/>
      <c r="HY77" s="300">
        <v>0</v>
      </c>
      <c r="HZ77" s="300"/>
      <c r="IA77" s="272"/>
      <c r="IB77" s="272"/>
      <c r="IC77" s="424">
        <v>0</v>
      </c>
      <c r="ID77" s="281"/>
      <c r="IE77" s="293">
        <v>0</v>
      </c>
      <c r="IF77" s="281"/>
      <c r="IG77" s="523"/>
      <c r="IH77" s="298"/>
      <c r="II77" s="303"/>
      <c r="IJ77" s="301"/>
      <c r="IK77" s="301"/>
      <c r="IL77" s="295"/>
      <c r="IM77" s="296"/>
      <c r="IN77" s="295"/>
      <c r="IO77" s="296"/>
      <c r="IP77" s="326"/>
      <c r="IQ77" s="326"/>
      <c r="IR77" s="326"/>
      <c r="IS77" s="326"/>
      <c r="IT77" s="289"/>
      <c r="IU77" s="289"/>
      <c r="IV77" s="289"/>
      <c r="IW77" s="289"/>
      <c r="IX77" s="289"/>
      <c r="IY77" s="289"/>
      <c r="IZ77" s="300" t="e">
        <f t="shared" si="184"/>
        <v>#VALUE!</v>
      </c>
      <c r="JA77" s="123"/>
      <c r="JB77" s="298"/>
      <c r="JC77" s="123"/>
      <c r="JD77" s="123"/>
      <c r="JE77" s="298"/>
    </row>
    <row r="78" spans="1:265" ht="24.95" customHeight="1">
      <c r="A78" s="89" t="s">
        <v>730</v>
      </c>
      <c r="B78" s="56" t="s">
        <v>167</v>
      </c>
      <c r="C78" s="56" t="s">
        <v>119</v>
      </c>
      <c r="D78" s="56">
        <v>2018</v>
      </c>
      <c r="E78" s="56" t="s">
        <v>664</v>
      </c>
      <c r="F78" s="56" t="s">
        <v>424</v>
      </c>
      <c r="G78" s="56" t="s">
        <v>697</v>
      </c>
      <c r="H78" s="58" t="s">
        <v>183</v>
      </c>
      <c r="I78" s="56"/>
      <c r="J78" s="56" t="s">
        <v>699</v>
      </c>
      <c r="K78" s="275" t="s">
        <v>745</v>
      </c>
      <c r="L78" s="178" t="s">
        <v>660</v>
      </c>
      <c r="M78" s="179"/>
      <c r="N78" s="180"/>
      <c r="O78" s="219">
        <v>7382</v>
      </c>
      <c r="P78" s="219">
        <v>1016540</v>
      </c>
      <c r="Q78" s="219"/>
      <c r="R78" s="219">
        <f>P78/AD78</f>
        <v>26065.128205128207</v>
      </c>
      <c r="S78" s="219">
        <f t="shared" ref="S78:S83" si="197">P78/O78</f>
        <v>137.7052289352479</v>
      </c>
      <c r="T78" s="225">
        <f t="shared" ref="T78:T83" si="198">Q78/O78</f>
        <v>0</v>
      </c>
      <c r="U78" s="225" t="e">
        <f t="shared" ref="U78:U83" si="199">Q78/AJ78</f>
        <v>#DIV/0!</v>
      </c>
      <c r="V78" s="225">
        <f t="shared" ref="V78:V86" si="200">Q78/AD78</f>
        <v>0</v>
      </c>
      <c r="W78" s="219">
        <f t="shared" ref="W78:W86" si="201">O78/AD78</f>
        <v>189.28205128205127</v>
      </c>
      <c r="X78" s="220"/>
      <c r="Y78" s="221"/>
      <c r="Z78" s="220"/>
      <c r="AA78" s="220"/>
      <c r="AB78" s="221"/>
      <c r="AC78" s="56" t="s">
        <v>15</v>
      </c>
      <c r="AD78" s="345">
        <f t="shared" ref="AD78:AD98" si="202">SUM(AE78:AH78)</f>
        <v>39</v>
      </c>
      <c r="AE78" s="56">
        <v>39</v>
      </c>
      <c r="AF78" s="67"/>
      <c r="AG78" s="67"/>
      <c r="AH78" s="67"/>
      <c r="AI78" s="60">
        <v>3148.1</v>
      </c>
      <c r="AJ78" s="95"/>
      <c r="AK78" s="60"/>
      <c r="AL78" s="81"/>
      <c r="AM78" s="81"/>
      <c r="AN78" s="81"/>
      <c r="AO78" s="81"/>
      <c r="AP78" s="81"/>
      <c r="AQ78" s="60"/>
      <c r="AR78" s="79"/>
      <c r="AS78" s="81"/>
      <c r="AT78" s="60"/>
      <c r="AU78" s="59"/>
      <c r="AV78" s="56"/>
      <c r="AW78" s="253"/>
      <c r="AX78" s="196"/>
      <c r="AY78" s="115"/>
      <c r="AZ78" s="115"/>
      <c r="BA78" s="100"/>
      <c r="BB78" s="216"/>
      <c r="BC78" s="102"/>
      <c r="BD78" s="102"/>
      <c r="BE78" s="216"/>
      <c r="BF78" s="102"/>
      <c r="BG78" s="172"/>
      <c r="BH78" s="215"/>
      <c r="BI78" s="172"/>
      <c r="BJ78" s="172"/>
      <c r="BK78" s="103"/>
      <c r="BL78" s="200"/>
      <c r="BM78" s="200"/>
      <c r="BN78" s="200"/>
      <c r="BO78" s="172"/>
      <c r="BP78" s="177"/>
      <c r="BQ78" s="103"/>
      <c r="BR78" s="104"/>
      <c r="BS78" s="104"/>
      <c r="BT78" s="104"/>
      <c r="BU78" s="170"/>
      <c r="BV78" s="268"/>
      <c r="BW78" s="268"/>
      <c r="BX78" s="169"/>
      <c r="BY78" s="268"/>
      <c r="BZ78" s="268"/>
      <c r="CA78" s="268"/>
      <c r="CB78" s="268" t="s">
        <v>177</v>
      </c>
      <c r="CC78" s="682"/>
      <c r="CD78" s="509"/>
      <c r="CE78" s="384">
        <v>43539</v>
      </c>
      <c r="CF78" s="377"/>
      <c r="CG78" s="494">
        <f t="shared" ref="CG78:CG98" si="203">(DATEDIF(BB78,CE78,"d"))/30</f>
        <v>1451.3</v>
      </c>
      <c r="CH78" s="262">
        <v>14</v>
      </c>
      <c r="CI78" s="262">
        <f t="shared" ref="CI78:CI98" si="204">CH78+1</f>
        <v>15</v>
      </c>
      <c r="CJ78" s="257">
        <f t="shared" ref="CJ78:CJ98" si="205">DATEDIF(CE78,CR78,"M")</f>
        <v>14</v>
      </c>
      <c r="CK78" s="257">
        <f t="shared" ref="CK78:CK98" si="206">DATEDIF(CE78,CW78,"M")</f>
        <v>15</v>
      </c>
      <c r="CL78" s="257">
        <f t="shared" ref="CL78:CL98" si="207">DATEDIF(CQ78,CR78,"M")</f>
        <v>0</v>
      </c>
      <c r="CM78" s="257">
        <f t="shared" ref="CM78:CM98" si="208">CK78-CI78</f>
        <v>0</v>
      </c>
      <c r="CN78" s="263"/>
      <c r="CO78" s="263">
        <f t="shared" ref="CO78:CO98" si="209">CN78*(CJ78-CH78)</f>
        <v>0</v>
      </c>
      <c r="CP78" s="258"/>
      <c r="CQ78" s="699">
        <f t="shared" ref="CQ78:CQ98" si="210">DATE(YEAR(CE78),MONTH(CE78)+CH78,DAY(CE78))</f>
        <v>43966</v>
      </c>
      <c r="CR78" s="391">
        <f t="shared" ref="CR78:CR86" si="211">DATE(YEAR(CE78),MONTH(CE78)+CH78,DAY(CE78))</f>
        <v>43966</v>
      </c>
      <c r="CS78" s="388">
        <f>DATE(YEAR(CA78)+2,MONTH(CA78),DAY(CA78))</f>
        <v>731</v>
      </c>
      <c r="CT78" s="258"/>
      <c r="CU78" s="258"/>
      <c r="CV78" s="650">
        <f t="shared" ref="CV78:CV98" si="212">DATE(YEAR(CR78),MONTH(CR78)+1,DAY(CR78))</f>
        <v>43997</v>
      </c>
      <c r="CW78" s="506">
        <f>CV78</f>
        <v>43997</v>
      </c>
      <c r="CX78" s="654"/>
      <c r="CY78" s="123"/>
      <c r="CZ78" s="127"/>
      <c r="DA78" s="127"/>
      <c r="DB78" s="127"/>
      <c r="DC78" s="127"/>
      <c r="DD78" s="127"/>
      <c r="DE78" s="56"/>
      <c r="DF78" s="56"/>
      <c r="DG78" s="56"/>
      <c r="DH78" s="56"/>
      <c r="DI78" s="56"/>
      <c r="DJ78" s="56"/>
      <c r="DK78" s="56"/>
      <c r="DL78" s="56"/>
      <c r="DM78" s="56"/>
      <c r="DN78" s="56"/>
      <c r="DO78" s="56"/>
      <c r="DP78" s="56"/>
      <c r="DQ78" s="56"/>
      <c r="DR78" s="56"/>
      <c r="DS78" s="610">
        <v>43019</v>
      </c>
      <c r="DT78" s="611">
        <v>43034</v>
      </c>
      <c r="DU78" s="611">
        <v>43020</v>
      </c>
      <c r="DV78" s="615">
        <f t="shared" ref="DV78:DV98" si="213">IF(AND(DT78&gt;0,DU78&gt;0),DU78-DT78,"0")</f>
        <v>-14</v>
      </c>
      <c r="DW78" s="613">
        <v>43140</v>
      </c>
      <c r="DX78" s="613">
        <v>43139</v>
      </c>
      <c r="DY78" s="615">
        <f t="shared" ref="DY78:DY98" si="214">IF(AND(DW78&gt;0,DX78&gt;0),DX78-DW78,"0")</f>
        <v>-1</v>
      </c>
      <c r="DZ78" s="613">
        <v>43091</v>
      </c>
      <c r="EA78" s="610">
        <f ca="1">IF(DZ78&lt;TODAY(),TODAY(),DZ78)</f>
        <v>43163</v>
      </c>
      <c r="EB78" s="615">
        <f t="shared" ref="EB78:EB98" ca="1" si="215">IF(AND(DZ78&gt;0,EA78&gt;0),EA78-DZ78,"0")</f>
        <v>72</v>
      </c>
      <c r="EC78" s="613">
        <v>43221</v>
      </c>
      <c r="ED78" s="610">
        <f ca="1">IF(EC78&lt;TODAY(),TODAY(),EC78)</f>
        <v>43221</v>
      </c>
      <c r="EE78" s="615">
        <f t="shared" ref="EE78:EE98" ca="1" si="216">IF(AND(EC78&gt;0,ED78&gt;0),ED78-EC78,"0")</f>
        <v>0</v>
      </c>
      <c r="EF78" s="613">
        <v>43280</v>
      </c>
      <c r="EG78" s="613">
        <f ca="1">IF(EF78&lt;TODAY(),TODAY(),EF78)</f>
        <v>43280</v>
      </c>
      <c r="EH78" s="615">
        <f t="shared" ref="EH78:EH98" ca="1" si="217">IF(AND(EF78&gt;0,EG78&gt;0),EG78-EF78,"0")</f>
        <v>0</v>
      </c>
      <c r="EI78" s="618"/>
      <c r="EJ78" s="594">
        <v>43543</v>
      </c>
      <c r="EK78" s="600">
        <f ca="1">IF(EJ78&lt;TODAY(),TODAY(),EJ78)</f>
        <v>43543</v>
      </c>
      <c r="EL78" s="596">
        <f t="shared" ref="EL78:EL98" ca="1" si="218">IF(AND(EJ78&gt;0,EK78&gt;0),EK78-EJ78,"0")</f>
        <v>0</v>
      </c>
      <c r="EM78" s="594">
        <v>43544</v>
      </c>
      <c r="EN78" s="600">
        <f ca="1">IF(EM78&lt;TODAY(),TODAY(),EM78)</f>
        <v>43544</v>
      </c>
      <c r="EO78" s="596">
        <f t="shared" ref="EO78:EO98" ca="1" si="219">IF(AND(EM78&gt;0,EN78&gt;0),EN78-EM78,"0")</f>
        <v>0</v>
      </c>
      <c r="EP78" s="594"/>
      <c r="EQ78" s="600">
        <f ca="1">IF(EP78&lt;TODAY(),TODAY(),EP78)</f>
        <v>43163</v>
      </c>
      <c r="ER78" s="596" t="str">
        <f t="shared" ref="ER78:ER98" ca="1" si="220">IF(AND(EP78&gt;0,EQ78&gt;0),EQ78-EP78,"0")</f>
        <v>0</v>
      </c>
      <c r="ES78" s="594"/>
      <c r="ET78" s="622">
        <f ca="1">IF(ES78&lt;TODAY(),TODAY(),ES78)</f>
        <v>43163</v>
      </c>
      <c r="EU78" s="597" t="str">
        <f t="shared" ref="EU78:EU98" ca="1" si="221">IF(AND(ES78&gt;0,ET78&gt;0),ET78-ES78,"0")</f>
        <v>0</v>
      </c>
      <c r="EV78" s="598"/>
      <c r="EW78" s="600">
        <f ca="1">IF(EV78&lt;TODAY(),TODAY(),EV78)</f>
        <v>43163</v>
      </c>
      <c r="EX78" s="596" t="str">
        <f t="shared" ref="EX78:EX98" ca="1" si="222">IF(AND(EV78&gt;0,EW78&gt;0),EW78-EV78,"0")</f>
        <v>0</v>
      </c>
      <c r="EY78" s="595"/>
      <c r="EZ78" s="600">
        <f ca="1">IF(EY78&lt;TODAY(),TODAY(),EY78)</f>
        <v>43163</v>
      </c>
      <c r="FA78" s="596" t="str">
        <f t="shared" ref="FA78:FA98" ca="1" si="223">IF(AND(EY78&gt;0,EZ78&gt;0),EZ78-EY78,"0")</f>
        <v>0</v>
      </c>
      <c r="FB78" s="602"/>
      <c r="FC78" s="600">
        <f ca="1">IF(FB78&lt;TODAY(),TODAY(),FB78)</f>
        <v>43163</v>
      </c>
      <c r="FD78" s="596" t="str">
        <f t="shared" ref="FD78:FD98" ca="1" si="224">IF(AND(FB78&gt;0,FC78&gt;0),FC78-FB78,"0")</f>
        <v>0</v>
      </c>
      <c r="FE78" s="602"/>
      <c r="FF78" s="600">
        <f ca="1">IF(FE78&lt;TODAY(),TODAY(),FE78)</f>
        <v>43163</v>
      </c>
      <c r="FG78" s="596" t="str">
        <f t="shared" ref="FG78:FG98" ca="1" si="225">IF(AND(FE78&gt;0,FF78&gt;0),FF78-FE78,"0")</f>
        <v>0</v>
      </c>
      <c r="FH78" s="602"/>
      <c r="FI78" s="600">
        <f ca="1">IF(FH78&lt;TODAY(),TODAY(),FH78)</f>
        <v>43163</v>
      </c>
      <c r="FJ78" s="596" t="str">
        <f t="shared" ref="FJ78:FJ98" ca="1" si="226">IF(AND(FH78&gt;0,FI78&gt;0),FI78-FH78,"0")</f>
        <v>0</v>
      </c>
      <c r="FK78" s="602"/>
      <c r="FL78" s="602"/>
      <c r="FM78" s="602"/>
      <c r="FN78" s="600">
        <v>44088</v>
      </c>
      <c r="FO78" s="600">
        <f t="shared" ref="FO78:FO98" si="227">CR78</f>
        <v>43966</v>
      </c>
      <c r="FP78" s="598">
        <f t="shared" ref="FP78:FP98" ca="1" si="228">(DATEDIF(EN78,FN78,"d"))/30</f>
        <v>18.133333333333333</v>
      </c>
      <c r="FQ78" s="600">
        <v>44118</v>
      </c>
      <c r="FR78" s="600">
        <f t="shared" ref="FR78:FR98" si="229">CW78</f>
        <v>43997</v>
      </c>
      <c r="FS78" s="627">
        <v>0</v>
      </c>
      <c r="FT78" s="627">
        <v>0</v>
      </c>
      <c r="FU78" s="627"/>
      <c r="FV78" s="627"/>
      <c r="FW78" s="628">
        <f t="shared" ref="FW78:FW98" ca="1" si="230">(DV78+DY78+EB78+EE78+EH78+EL78+EO78)/30</f>
        <v>1.9</v>
      </c>
      <c r="FX78" s="628">
        <f t="shared" ref="FX78:FX98" si="231">(FR78-FQ78)/30</f>
        <v>-4.0333333333333332</v>
      </c>
      <c r="FY78" s="624"/>
      <c r="FZ78" s="641"/>
      <c r="GA78" s="624" t="s">
        <v>839</v>
      </c>
      <c r="GB78" s="624"/>
      <c r="GC78" s="118"/>
      <c r="GD78" s="118"/>
      <c r="GE78" s="96">
        <f t="shared" si="189"/>
        <v>6333871.6299999999</v>
      </c>
      <c r="GF78" s="70">
        <f t="shared" ref="GF78:GF93" si="232">GP78+GT78+HA78+HT78+HB78+HE78</f>
        <v>3651857</v>
      </c>
      <c r="GG78" s="97">
        <f t="shared" ref="GG78:GG98" si="233">GF78-GE78</f>
        <v>-2682014.63</v>
      </c>
      <c r="GH78" s="52">
        <f t="shared" ref="GH78:GH98" si="234">GE78/AI78</f>
        <v>2011.9664654871192</v>
      </c>
      <c r="GI78" s="52">
        <f>GE78/AD78</f>
        <v>162406.96487179486</v>
      </c>
      <c r="GJ78" s="96"/>
      <c r="GK78" s="70"/>
      <c r="GL78" s="97">
        <f t="shared" ref="GL78:GL98" si="235">GK78-GJ78</f>
        <v>0</v>
      </c>
      <c r="GM78" s="138">
        <f t="shared" ref="GM78:GM98" si="236">GK78*1.021/GF78</f>
        <v>0</v>
      </c>
      <c r="GN78" s="139">
        <v>0.4</v>
      </c>
      <c r="GO78" s="96">
        <v>1941014.63</v>
      </c>
      <c r="GP78" s="70"/>
      <c r="GQ78" s="52">
        <f>GO78/AD78</f>
        <v>49769.605897435897</v>
      </c>
      <c r="GR78" s="98"/>
      <c r="GS78" s="96">
        <f>GT78</f>
        <v>3651857</v>
      </c>
      <c r="GT78" s="70">
        <f>GU78+GV78</f>
        <v>3651857</v>
      </c>
      <c r="GU78" s="90">
        <v>931905</v>
      </c>
      <c r="GV78" s="90">
        <v>2719952</v>
      </c>
      <c r="GW78" s="98">
        <f t="shared" ref="GW78:GW98" si="237">GT78-GS78</f>
        <v>0</v>
      </c>
      <c r="GX78" s="52">
        <f>GS78/AD78</f>
        <v>93637.358974358969</v>
      </c>
      <c r="GY78" s="70"/>
      <c r="GZ78" s="307">
        <v>741000</v>
      </c>
      <c r="HA78" s="70"/>
      <c r="HB78" s="70"/>
      <c r="HC78" s="41">
        <f t="shared" ref="HC78:HC98" si="238">GZ78/GE78</f>
        <v>0.11699005652250644</v>
      </c>
      <c r="HD78" s="96"/>
      <c r="HE78" s="70"/>
      <c r="HF78" s="92">
        <f t="shared" ref="HF78:HF98" si="239">HA78-GZ78</f>
        <v>-741000</v>
      </c>
      <c r="HG78" s="23">
        <f>GZ78/AD78</f>
        <v>19000</v>
      </c>
      <c r="HH78" s="84">
        <f>(GO78+GZ78)/AD78</f>
        <v>68769.605897435889</v>
      </c>
      <c r="HI78" s="92">
        <f>HF78/AD78</f>
        <v>-19000</v>
      </c>
      <c r="HJ78" s="93">
        <v>6.31</v>
      </c>
      <c r="HK78" s="93"/>
      <c r="HL78" s="94"/>
      <c r="HM78" s="94"/>
      <c r="HN78" s="52">
        <f>(GO78+GZ78+HM78)/AD78</f>
        <v>68769.605897435889</v>
      </c>
      <c r="HO78" s="94"/>
      <c r="HP78" s="52">
        <f>(GP78+HA78+HM78+HO78)/AD78</f>
        <v>0</v>
      </c>
      <c r="HQ78" s="53">
        <f t="shared" ref="HQ78:HQ98" si="240">(GO78+GZ78+HM78+HO78)/(HL78+GE78-HR78)</f>
        <v>0.42344000426165884</v>
      </c>
      <c r="HR78" s="94"/>
      <c r="HS78" s="94"/>
      <c r="HT78" s="70"/>
      <c r="HU78" s="42">
        <f t="shared" ref="HU78:HU98" si="241">GE78+HL78</f>
        <v>6333871.6299999999</v>
      </c>
      <c r="HV78" s="245">
        <v>310612</v>
      </c>
      <c r="HW78" s="245">
        <f t="shared" ref="HW78:HW98" si="242">HY78+IA78+IC78+IE78+IG78+II78+IK78+IM78+IO78+IQ78+IS78+IU78+IW78+IY78+JA78+JC78+JE78</f>
        <v>77653</v>
      </c>
      <c r="HX78" s="119">
        <v>43026</v>
      </c>
      <c r="HY78" s="342">
        <v>25896</v>
      </c>
      <c r="HZ78" s="488">
        <v>43080</v>
      </c>
      <c r="IA78" s="341">
        <v>20695</v>
      </c>
      <c r="IB78" s="353"/>
      <c r="IC78" s="486"/>
      <c r="ID78" s="353">
        <v>43139</v>
      </c>
      <c r="IE78" s="245">
        <v>31062</v>
      </c>
      <c r="IF78" s="353"/>
      <c r="IG78" s="245"/>
      <c r="IH78" s="120"/>
      <c r="II78" s="350"/>
      <c r="IJ78" s="488"/>
      <c r="IK78" s="341"/>
      <c r="IL78" s="295"/>
      <c r="IM78" s="296"/>
      <c r="IN78" s="295"/>
      <c r="IO78" s="296"/>
      <c r="IP78" s="326"/>
      <c r="IQ78" s="326"/>
      <c r="IR78" s="326"/>
      <c r="IS78" s="326"/>
      <c r="IT78" s="289"/>
      <c r="IU78" s="289"/>
      <c r="IV78" s="289"/>
      <c r="IW78" s="289"/>
      <c r="IX78" s="289"/>
      <c r="IY78" s="289"/>
      <c r="IZ78" s="342">
        <v>31062</v>
      </c>
      <c r="JA78" s="123"/>
      <c r="JB78" s="298"/>
      <c r="JC78" s="123"/>
      <c r="JD78" s="123"/>
      <c r="JE78" s="298"/>
    </row>
    <row r="79" spans="1:265" ht="24.95" customHeight="1">
      <c r="A79" s="269" t="s">
        <v>477</v>
      </c>
      <c r="B79" s="56" t="s">
        <v>34</v>
      </c>
      <c r="C79" s="56" t="s">
        <v>118</v>
      </c>
      <c r="D79" s="56">
        <v>2018</v>
      </c>
      <c r="E79" s="56" t="s">
        <v>662</v>
      </c>
      <c r="F79" s="56" t="s">
        <v>419</v>
      </c>
      <c r="G79" s="7" t="s">
        <v>190</v>
      </c>
      <c r="H79" s="58" t="s">
        <v>183</v>
      </c>
      <c r="I79" s="56"/>
      <c r="J79" s="56" t="s">
        <v>479</v>
      </c>
      <c r="K79" s="275" t="s">
        <v>685</v>
      </c>
      <c r="L79" s="178"/>
      <c r="M79" s="179"/>
      <c r="N79" s="180"/>
      <c r="O79" s="219"/>
      <c r="P79" s="219">
        <v>247943</v>
      </c>
      <c r="Q79" s="219"/>
      <c r="R79" s="219">
        <f>P79/AD79</f>
        <v>11270.136363636364</v>
      </c>
      <c r="S79" s="219" t="e">
        <f t="shared" si="197"/>
        <v>#DIV/0!</v>
      </c>
      <c r="T79" s="225" t="e">
        <f t="shared" si="198"/>
        <v>#DIV/0!</v>
      </c>
      <c r="U79" s="225" t="e">
        <f t="shared" si="199"/>
        <v>#DIV/0!</v>
      </c>
      <c r="V79" s="225">
        <f t="shared" si="200"/>
        <v>0</v>
      </c>
      <c r="W79" s="219">
        <f t="shared" si="201"/>
        <v>0</v>
      </c>
      <c r="X79" s="220"/>
      <c r="Y79" s="221" t="e">
        <f>AJ79/O79</f>
        <v>#DIV/0!</v>
      </c>
      <c r="Z79" s="220"/>
      <c r="AA79" s="220"/>
      <c r="AB79" s="221"/>
      <c r="AC79" s="56" t="s">
        <v>15</v>
      </c>
      <c r="AD79" s="345">
        <f t="shared" si="202"/>
        <v>22</v>
      </c>
      <c r="AE79" s="56">
        <v>22</v>
      </c>
      <c r="AF79" s="67"/>
      <c r="AG79" s="67"/>
      <c r="AH79" s="67"/>
      <c r="AI79" s="60">
        <v>2090.21</v>
      </c>
      <c r="AJ79" s="95"/>
      <c r="AK79" s="60">
        <f>AJ79/AD79</f>
        <v>0</v>
      </c>
      <c r="AL79" s="81"/>
      <c r="AM79" s="81"/>
      <c r="AN79" s="81"/>
      <c r="AO79" s="81"/>
      <c r="AP79" s="81"/>
      <c r="AQ79" s="60"/>
      <c r="AR79" s="79"/>
      <c r="AS79" s="81"/>
      <c r="AT79" s="60"/>
      <c r="AU79" s="59" t="s">
        <v>621</v>
      </c>
      <c r="AV79" s="56"/>
      <c r="AW79" s="253" t="s">
        <v>624</v>
      </c>
      <c r="AX79" s="196"/>
      <c r="AY79" s="115"/>
      <c r="AZ79" s="115"/>
      <c r="BA79" s="100"/>
      <c r="BB79" s="216"/>
      <c r="BC79" s="102"/>
      <c r="BD79" s="102"/>
      <c r="BE79" s="216"/>
      <c r="BF79" s="102"/>
      <c r="BG79" s="172"/>
      <c r="BH79" s="215"/>
      <c r="BI79" s="172"/>
      <c r="BJ79" s="172"/>
      <c r="BK79" s="103"/>
      <c r="BL79" s="200">
        <f>DATE(YEAR(BK79),MONTH(BK79)+24,DAY(BK79))</f>
        <v>731</v>
      </c>
      <c r="BM79" s="200">
        <f>DATE(YEAR(BK79),MONTH(BK79)+36,DAY(BK79))</f>
        <v>1096</v>
      </c>
      <c r="BN79" s="200"/>
      <c r="BO79" s="172"/>
      <c r="BP79" s="177"/>
      <c r="BQ79" s="103"/>
      <c r="BR79" s="104"/>
      <c r="BS79" s="104"/>
      <c r="BT79" s="104"/>
      <c r="BU79" s="170"/>
      <c r="BV79" s="268"/>
      <c r="BW79" s="268"/>
      <c r="BX79" s="169"/>
      <c r="BY79" s="268"/>
      <c r="BZ79" s="268"/>
      <c r="CA79" s="268"/>
      <c r="CB79" s="268" t="s">
        <v>177</v>
      </c>
      <c r="CC79" s="682"/>
      <c r="CD79" s="509"/>
      <c r="CE79" s="384">
        <v>43455</v>
      </c>
      <c r="CF79" s="377"/>
      <c r="CG79" s="494">
        <f t="shared" si="203"/>
        <v>1448.5</v>
      </c>
      <c r="CH79" s="262">
        <v>16</v>
      </c>
      <c r="CI79" s="262">
        <f t="shared" si="204"/>
        <v>17</v>
      </c>
      <c r="CJ79" s="257">
        <f t="shared" si="205"/>
        <v>16</v>
      </c>
      <c r="CK79" s="257">
        <f t="shared" si="206"/>
        <v>17</v>
      </c>
      <c r="CL79" s="257">
        <f t="shared" si="207"/>
        <v>0</v>
      </c>
      <c r="CM79" s="257">
        <f t="shared" si="208"/>
        <v>0</v>
      </c>
      <c r="CN79" s="263"/>
      <c r="CO79" s="263">
        <f t="shared" si="209"/>
        <v>0</v>
      </c>
      <c r="CP79" s="258"/>
      <c r="CQ79" s="699">
        <f t="shared" si="210"/>
        <v>43942</v>
      </c>
      <c r="CR79" s="391">
        <f t="shared" si="211"/>
        <v>43942</v>
      </c>
      <c r="CS79" s="388">
        <f>DATE(YEAR(CA79)+2,MONTH(CA79),DAY(CA79))</f>
        <v>731</v>
      </c>
      <c r="CT79" s="258"/>
      <c r="CU79" s="258"/>
      <c r="CV79" s="650">
        <f t="shared" si="212"/>
        <v>43972</v>
      </c>
      <c r="CW79" s="506">
        <f>CV79</f>
        <v>43972</v>
      </c>
      <c r="CX79" s="654"/>
      <c r="CY79" s="123"/>
      <c r="CZ79" s="127"/>
      <c r="DA79" s="127"/>
      <c r="DB79" s="127"/>
      <c r="DC79" s="127"/>
      <c r="DD79" s="127"/>
      <c r="DE79" s="56"/>
      <c r="DF79" s="56"/>
      <c r="DG79" s="56"/>
      <c r="DH79" s="56"/>
      <c r="DI79" s="56"/>
      <c r="DJ79" s="56"/>
      <c r="DK79" s="56"/>
      <c r="DL79" s="56"/>
      <c r="DM79" s="56"/>
      <c r="DN79" s="56"/>
      <c r="DO79" s="56"/>
      <c r="DP79" s="56"/>
      <c r="DQ79" s="56"/>
      <c r="DR79" s="56"/>
      <c r="DS79" s="610">
        <v>42619</v>
      </c>
      <c r="DT79" s="613">
        <v>42619</v>
      </c>
      <c r="DU79" s="613">
        <v>42619</v>
      </c>
      <c r="DV79" s="615">
        <f t="shared" si="213"/>
        <v>0</v>
      </c>
      <c r="DW79" s="613">
        <v>43119</v>
      </c>
      <c r="DX79" s="613">
        <f ca="1">IF(DW79&lt;TODAY(),TODAY(),DW79)</f>
        <v>43163</v>
      </c>
      <c r="DY79" s="615">
        <f t="shared" ca="1" si="214"/>
        <v>44</v>
      </c>
      <c r="DZ79" s="613">
        <v>42772</v>
      </c>
      <c r="EA79" s="613">
        <v>42849</v>
      </c>
      <c r="EB79" s="615">
        <f t="shared" si="215"/>
        <v>77</v>
      </c>
      <c r="EC79" s="613">
        <v>43053</v>
      </c>
      <c r="ED79" s="613">
        <f ca="1">IF(EC79&lt;TODAY(),TODAY(),EC79)</f>
        <v>43163</v>
      </c>
      <c r="EE79" s="615">
        <f t="shared" ca="1" si="216"/>
        <v>110</v>
      </c>
      <c r="EF79" s="613">
        <v>43151</v>
      </c>
      <c r="EG79" s="613">
        <f ca="1">IF(EF79&lt;TODAY(),TODAY(),EF79)</f>
        <v>43163</v>
      </c>
      <c r="EH79" s="615">
        <f t="shared" ca="1" si="217"/>
        <v>12</v>
      </c>
      <c r="EI79" s="618"/>
      <c r="EJ79" s="594">
        <v>43441</v>
      </c>
      <c r="EK79" s="600">
        <f ca="1">IF(EJ79&lt;TODAY(),TODAY(),EJ79)</f>
        <v>43441</v>
      </c>
      <c r="EL79" s="596">
        <f t="shared" ca="1" si="218"/>
        <v>0</v>
      </c>
      <c r="EM79" s="594">
        <v>43455</v>
      </c>
      <c r="EN79" s="600">
        <f ca="1">IF(EM79&lt;TODAY(),TODAY(),EM79)</f>
        <v>43455</v>
      </c>
      <c r="EO79" s="596">
        <f t="shared" ca="1" si="219"/>
        <v>0</v>
      </c>
      <c r="EP79" s="594"/>
      <c r="EQ79" s="600">
        <f ca="1">IF(EP79&lt;TODAY(),TODAY(),EP79)</f>
        <v>43163</v>
      </c>
      <c r="ER79" s="596" t="str">
        <f t="shared" ca="1" si="220"/>
        <v>0</v>
      </c>
      <c r="ES79" s="594"/>
      <c r="ET79" s="622">
        <f ca="1">IF(ES79&lt;TODAY(),TODAY(),ES79)</f>
        <v>43163</v>
      </c>
      <c r="EU79" s="597" t="str">
        <f t="shared" ca="1" si="221"/>
        <v>0</v>
      </c>
      <c r="EV79" s="598"/>
      <c r="EW79" s="600">
        <f ca="1">IF(EV79&lt;TODAY(),TODAY(),EV79)</f>
        <v>43163</v>
      </c>
      <c r="EX79" s="596" t="str">
        <f t="shared" ca="1" si="222"/>
        <v>0</v>
      </c>
      <c r="EY79" s="601"/>
      <c r="EZ79" s="600">
        <f ca="1">IF(EY79&lt;TODAY(),TODAY(),EY79)</f>
        <v>43163</v>
      </c>
      <c r="FA79" s="596" t="str">
        <f t="shared" ca="1" si="223"/>
        <v>0</v>
      </c>
      <c r="FB79" s="602"/>
      <c r="FC79" s="600">
        <f ca="1">IF(FB79&lt;TODAY(),TODAY(),FB79)</f>
        <v>43163</v>
      </c>
      <c r="FD79" s="596" t="str">
        <f t="shared" ca="1" si="224"/>
        <v>0</v>
      </c>
      <c r="FE79" s="602"/>
      <c r="FF79" s="600">
        <f ca="1">IF(FE79&lt;TODAY(),TODAY(),FE79)</f>
        <v>43163</v>
      </c>
      <c r="FG79" s="596" t="str">
        <f t="shared" ca="1" si="225"/>
        <v>0</v>
      </c>
      <c r="FH79" s="600"/>
      <c r="FI79" s="600">
        <f ca="1">IF(FH79&lt;TODAY(),TODAY(),FH79)</f>
        <v>43163</v>
      </c>
      <c r="FJ79" s="596" t="str">
        <f t="shared" ca="1" si="226"/>
        <v>0</v>
      </c>
      <c r="FK79" s="602"/>
      <c r="FL79" s="602"/>
      <c r="FM79" s="602"/>
      <c r="FN79" s="600">
        <v>43994</v>
      </c>
      <c r="FO79" s="600">
        <f t="shared" si="227"/>
        <v>43942</v>
      </c>
      <c r="FP79" s="598">
        <f t="shared" ca="1" si="228"/>
        <v>17.966666666666665</v>
      </c>
      <c r="FQ79" s="600">
        <v>44026</v>
      </c>
      <c r="FR79" s="600">
        <f t="shared" si="229"/>
        <v>43972</v>
      </c>
      <c r="FS79" s="627">
        <v>0</v>
      </c>
      <c r="FT79" s="627">
        <v>0</v>
      </c>
      <c r="FU79" s="627"/>
      <c r="FV79" s="627"/>
      <c r="FW79" s="628">
        <f t="shared" ca="1" si="230"/>
        <v>8.1</v>
      </c>
      <c r="FX79" s="628">
        <f t="shared" si="231"/>
        <v>-1.8</v>
      </c>
      <c r="FY79" s="624"/>
      <c r="FZ79" s="641"/>
      <c r="GA79" s="641" t="s">
        <v>839</v>
      </c>
      <c r="GB79" s="624"/>
      <c r="GC79" s="118"/>
      <c r="GD79" s="118"/>
      <c r="GE79" s="96">
        <f t="shared" si="189"/>
        <v>4056688</v>
      </c>
      <c r="GF79" s="70">
        <f t="shared" si="232"/>
        <v>21631</v>
      </c>
      <c r="GG79" s="97">
        <f t="shared" si="233"/>
        <v>-4035057</v>
      </c>
      <c r="GH79" s="52">
        <f t="shared" si="234"/>
        <v>1940.8040340444261</v>
      </c>
      <c r="GI79" s="52">
        <f>GE79/AD79</f>
        <v>184394.90909090909</v>
      </c>
      <c r="GJ79" s="96"/>
      <c r="GK79" s="70"/>
      <c r="GL79" s="97">
        <f t="shared" si="235"/>
        <v>0</v>
      </c>
      <c r="GM79" s="138">
        <f t="shared" si="236"/>
        <v>0</v>
      </c>
      <c r="GN79" s="139">
        <v>0.4</v>
      </c>
      <c r="GO79" s="96">
        <v>1260329</v>
      </c>
      <c r="GP79" s="70"/>
      <c r="GQ79" s="52">
        <f>GO79/AD79</f>
        <v>57287.681818181816</v>
      </c>
      <c r="GR79" s="98"/>
      <c r="GS79" s="96">
        <v>2356728</v>
      </c>
      <c r="GT79" s="70">
        <f>GU79+GV79</f>
        <v>0</v>
      </c>
      <c r="GU79" s="90"/>
      <c r="GV79" s="90"/>
      <c r="GW79" s="98">
        <f t="shared" si="237"/>
        <v>-2356728</v>
      </c>
      <c r="GX79" s="52">
        <f>GS79/AD79</f>
        <v>107124</v>
      </c>
      <c r="GY79" s="70"/>
      <c r="GZ79" s="307">
        <v>418000</v>
      </c>
      <c r="HA79" s="70"/>
      <c r="HB79" s="70"/>
      <c r="HC79" s="41">
        <f t="shared" si="238"/>
        <v>0.10303972107295409</v>
      </c>
      <c r="HD79" s="96"/>
      <c r="HE79" s="70">
        <v>21631</v>
      </c>
      <c r="HF79" s="92">
        <f t="shared" si="239"/>
        <v>-418000</v>
      </c>
      <c r="HG79" s="23">
        <f>GZ79/AD79</f>
        <v>19000</v>
      </c>
      <c r="HH79" s="84">
        <f>(GO79+GZ79)/AD79</f>
        <v>76287.681818181823</v>
      </c>
      <c r="HI79" s="92">
        <f>HF79/AD79</f>
        <v>-19000</v>
      </c>
      <c r="HJ79" s="93">
        <v>6.31</v>
      </c>
      <c r="HK79" s="93"/>
      <c r="HL79" s="94"/>
      <c r="HM79" s="94"/>
      <c r="HN79" s="52">
        <f>(GO79+GZ79+HM79)/AD79</f>
        <v>76287.681818181823</v>
      </c>
      <c r="HO79" s="94"/>
      <c r="HP79" s="52">
        <f>(GP79+HA79+HM79+HO79)/AD79</f>
        <v>0</v>
      </c>
      <c r="HQ79" s="53">
        <f t="shared" si="240"/>
        <v>0.41371902399198557</v>
      </c>
      <c r="HR79" s="94"/>
      <c r="HS79" s="94"/>
      <c r="HT79" s="70"/>
      <c r="HU79" s="42">
        <f t="shared" si="241"/>
        <v>4056688</v>
      </c>
      <c r="HV79" s="296">
        <v>461347</v>
      </c>
      <c r="HW79" s="296">
        <f t="shared" si="242"/>
        <v>161472</v>
      </c>
      <c r="HX79" s="252"/>
      <c r="HY79" s="356"/>
      <c r="HZ79" s="356"/>
      <c r="IA79" s="252"/>
      <c r="IB79" s="252"/>
      <c r="IC79" s="361"/>
      <c r="ID79" s="252">
        <v>43145</v>
      </c>
      <c r="IE79" s="361">
        <v>47870</v>
      </c>
      <c r="IF79" s="252" t="s">
        <v>727</v>
      </c>
      <c r="IG79" s="361">
        <v>113602</v>
      </c>
      <c r="IH79" s="312"/>
      <c r="II79" s="362">
        <v>0</v>
      </c>
      <c r="IJ79" s="358"/>
      <c r="IK79" s="358"/>
      <c r="IL79" s="295"/>
      <c r="IM79" s="300"/>
      <c r="IN79" s="295"/>
      <c r="IO79" s="300"/>
      <c r="IP79" s="326"/>
      <c r="IQ79" s="326"/>
      <c r="IR79" s="326"/>
      <c r="IS79" s="326"/>
      <c r="IT79" s="289"/>
      <c r="IU79" s="289"/>
      <c r="IV79" s="289"/>
      <c r="IW79" s="289"/>
      <c r="IX79" s="289"/>
      <c r="IY79" s="289"/>
      <c r="IZ79" s="356">
        <v>47870</v>
      </c>
      <c r="JA79" s="343"/>
      <c r="JB79" s="120"/>
      <c r="JC79" s="343"/>
      <c r="JD79" s="343"/>
      <c r="JE79" s="298"/>
    </row>
    <row r="80" spans="1:265" ht="24.95" customHeight="1">
      <c r="A80" s="89" t="s">
        <v>694</v>
      </c>
      <c r="B80" s="56" t="s">
        <v>82</v>
      </c>
      <c r="C80" s="56" t="s">
        <v>119</v>
      </c>
      <c r="D80" s="56">
        <v>2019</v>
      </c>
      <c r="E80" s="56"/>
      <c r="F80" s="56" t="s">
        <v>423</v>
      </c>
      <c r="G80" s="7"/>
      <c r="H80" s="56"/>
      <c r="I80" s="56"/>
      <c r="J80" s="56" t="s">
        <v>695</v>
      </c>
      <c r="K80" s="275" t="s">
        <v>726</v>
      </c>
      <c r="L80" s="178" t="s">
        <v>696</v>
      </c>
      <c r="M80" s="179"/>
      <c r="N80" s="180"/>
      <c r="O80" s="219"/>
      <c r="P80" s="219"/>
      <c r="Q80" s="219"/>
      <c r="R80" s="219"/>
      <c r="S80" s="219" t="e">
        <f t="shared" si="197"/>
        <v>#DIV/0!</v>
      </c>
      <c r="T80" s="225" t="e">
        <f t="shared" si="198"/>
        <v>#DIV/0!</v>
      </c>
      <c r="U80" s="225" t="e">
        <f t="shared" si="199"/>
        <v>#DIV/0!</v>
      </c>
      <c r="V80" s="225">
        <f t="shared" si="200"/>
        <v>0</v>
      </c>
      <c r="W80" s="219">
        <f t="shared" si="201"/>
        <v>0</v>
      </c>
      <c r="X80" s="220"/>
      <c r="Y80" s="221"/>
      <c r="Z80" s="220" t="s">
        <v>215</v>
      </c>
      <c r="AA80" s="220"/>
      <c r="AB80" s="221"/>
      <c r="AC80" s="56" t="s">
        <v>16</v>
      </c>
      <c r="AD80" s="345">
        <f t="shared" si="202"/>
        <v>16</v>
      </c>
      <c r="AE80" s="67"/>
      <c r="AF80" s="56">
        <v>16</v>
      </c>
      <c r="AG80" s="56"/>
      <c r="AH80" s="56"/>
      <c r="AI80" s="60"/>
      <c r="AJ80" s="95"/>
      <c r="AK80" s="60"/>
      <c r="AL80" s="81"/>
      <c r="AM80" s="81"/>
      <c r="AN80" s="81"/>
      <c r="AO80" s="81"/>
      <c r="AP80" s="81"/>
      <c r="AQ80" s="60"/>
      <c r="AR80" s="79"/>
      <c r="AS80" s="81"/>
      <c r="AT80" s="60"/>
      <c r="AU80" s="56"/>
      <c r="AV80" s="56"/>
      <c r="AW80" s="56"/>
      <c r="AX80" s="56"/>
      <c r="AY80" s="115"/>
      <c r="AZ80" s="115"/>
      <c r="BA80" s="100"/>
      <c r="BB80" s="216"/>
      <c r="BC80" s="102"/>
      <c r="BD80" s="102"/>
      <c r="BE80" s="216"/>
      <c r="BF80" s="102"/>
      <c r="BG80" s="172"/>
      <c r="BH80" s="215"/>
      <c r="BI80" s="172"/>
      <c r="BJ80" s="172"/>
      <c r="BK80" s="103"/>
      <c r="BL80" s="200"/>
      <c r="BM80" s="200"/>
      <c r="BN80" s="200"/>
      <c r="BO80" s="172"/>
      <c r="BP80" s="177"/>
      <c r="BQ80" s="103"/>
      <c r="BR80" s="104"/>
      <c r="BS80" s="104"/>
      <c r="BT80" s="104"/>
      <c r="BU80" s="170"/>
      <c r="BV80" s="268"/>
      <c r="BW80" s="268"/>
      <c r="BX80" s="169"/>
      <c r="BY80" s="268"/>
      <c r="BZ80" s="268"/>
      <c r="CA80" s="268"/>
      <c r="CB80" s="268" t="s">
        <v>177</v>
      </c>
      <c r="CC80" s="682"/>
      <c r="CD80" s="509"/>
      <c r="CE80" s="384">
        <v>43647</v>
      </c>
      <c r="CF80" s="377"/>
      <c r="CG80" s="494">
        <f t="shared" si="203"/>
        <v>1454.9</v>
      </c>
      <c r="CH80" s="262">
        <v>16</v>
      </c>
      <c r="CI80" s="262">
        <f t="shared" si="204"/>
        <v>17</v>
      </c>
      <c r="CJ80" s="257">
        <f t="shared" si="205"/>
        <v>16</v>
      </c>
      <c r="CK80" s="257">
        <f t="shared" si="206"/>
        <v>17</v>
      </c>
      <c r="CL80" s="257">
        <f t="shared" si="207"/>
        <v>0</v>
      </c>
      <c r="CM80" s="257">
        <f t="shared" si="208"/>
        <v>0</v>
      </c>
      <c r="CN80" s="263"/>
      <c r="CO80" s="263">
        <f t="shared" si="209"/>
        <v>0</v>
      </c>
      <c r="CP80" s="258"/>
      <c r="CQ80" s="699">
        <f t="shared" si="210"/>
        <v>44136</v>
      </c>
      <c r="CR80" s="391">
        <f t="shared" si="211"/>
        <v>44136</v>
      </c>
      <c r="CS80" s="388">
        <f>DATE(YEAR(CA80)+2,MONTH(CA80),DAY(CA80))</f>
        <v>731</v>
      </c>
      <c r="CT80" s="258"/>
      <c r="CU80" s="258"/>
      <c r="CV80" s="650">
        <f t="shared" si="212"/>
        <v>44166</v>
      </c>
      <c r="CW80" s="506">
        <f>CV80</f>
        <v>44166</v>
      </c>
      <c r="CX80" s="654"/>
      <c r="CY80" s="123"/>
      <c r="CZ80" s="127"/>
      <c r="DA80" s="127"/>
      <c r="DB80" s="127"/>
      <c r="DC80" s="127"/>
      <c r="DD80" s="127"/>
      <c r="DE80" s="56"/>
      <c r="DF80" s="56"/>
      <c r="DG80" s="56"/>
      <c r="DH80" s="56"/>
      <c r="DI80" s="56"/>
      <c r="DJ80" s="56"/>
      <c r="DK80" s="56"/>
      <c r="DL80" s="56"/>
      <c r="DM80" s="56"/>
      <c r="DN80" s="56"/>
      <c r="DO80" s="56"/>
      <c r="DP80" s="56"/>
      <c r="DQ80" s="56"/>
      <c r="DR80" s="56"/>
      <c r="DS80" s="610"/>
      <c r="DT80" s="611"/>
      <c r="DU80" s="611"/>
      <c r="DV80" s="615" t="str">
        <f t="shared" si="213"/>
        <v>0</v>
      </c>
      <c r="DW80" s="613"/>
      <c r="DX80" s="613"/>
      <c r="DY80" s="615" t="str">
        <f t="shared" si="214"/>
        <v>0</v>
      </c>
      <c r="DZ80" s="616"/>
      <c r="EA80" s="610"/>
      <c r="EB80" s="615" t="str">
        <f t="shared" si="215"/>
        <v>0</v>
      </c>
      <c r="EC80" s="616"/>
      <c r="ED80" s="610"/>
      <c r="EE80" s="615" t="str">
        <f t="shared" si="216"/>
        <v>0</v>
      </c>
      <c r="EF80" s="616"/>
      <c r="EG80" s="617"/>
      <c r="EH80" s="615" t="str">
        <f t="shared" si="217"/>
        <v>0</v>
      </c>
      <c r="EI80" s="618"/>
      <c r="EJ80" s="594"/>
      <c r="EK80" s="595"/>
      <c r="EL80" s="596" t="str">
        <f t="shared" si="218"/>
        <v>0</v>
      </c>
      <c r="EM80" s="594"/>
      <c r="EN80" s="595"/>
      <c r="EO80" s="596" t="str">
        <f t="shared" si="219"/>
        <v>0</v>
      </c>
      <c r="EP80" s="594"/>
      <c r="EQ80" s="595"/>
      <c r="ER80" s="596" t="str">
        <f t="shared" si="220"/>
        <v>0</v>
      </c>
      <c r="ES80" s="594"/>
      <c r="ET80" s="622"/>
      <c r="EU80" s="597" t="str">
        <f t="shared" si="221"/>
        <v>0</v>
      </c>
      <c r="EV80" s="598"/>
      <c r="EW80" s="599"/>
      <c r="EX80" s="596" t="str">
        <f t="shared" si="222"/>
        <v>0</v>
      </c>
      <c r="EY80" s="595"/>
      <c r="EZ80" s="600"/>
      <c r="FA80" s="596" t="str">
        <f t="shared" si="223"/>
        <v>0</v>
      </c>
      <c r="FB80" s="602"/>
      <c r="FC80" s="602"/>
      <c r="FD80" s="596" t="str">
        <f t="shared" si="224"/>
        <v>0</v>
      </c>
      <c r="FE80" s="602"/>
      <c r="FF80" s="602"/>
      <c r="FG80" s="596" t="str">
        <f t="shared" si="225"/>
        <v>0</v>
      </c>
      <c r="FH80" s="602"/>
      <c r="FI80" s="602"/>
      <c r="FJ80" s="596" t="str">
        <f t="shared" si="226"/>
        <v>0</v>
      </c>
      <c r="FK80" s="602"/>
      <c r="FL80" s="602"/>
      <c r="FM80" s="602"/>
      <c r="FN80" s="602"/>
      <c r="FO80" s="600">
        <f t="shared" si="227"/>
        <v>44136</v>
      </c>
      <c r="FP80" s="598">
        <f t="shared" si="228"/>
        <v>0</v>
      </c>
      <c r="FQ80" s="602"/>
      <c r="FR80" s="600">
        <f t="shared" si="229"/>
        <v>44166</v>
      </c>
      <c r="FS80" s="627"/>
      <c r="FT80" s="627"/>
      <c r="FU80" s="627"/>
      <c r="FV80" s="627"/>
      <c r="FW80" s="628">
        <f t="shared" si="230"/>
        <v>0</v>
      </c>
      <c r="FX80" s="628">
        <f t="shared" si="231"/>
        <v>1472.2</v>
      </c>
      <c r="FY80" s="624"/>
      <c r="FZ80" s="641"/>
      <c r="GA80" s="624"/>
      <c r="GB80" s="624"/>
      <c r="GC80" s="118"/>
      <c r="GD80" s="118"/>
      <c r="GE80" s="426">
        <f t="shared" si="189"/>
        <v>0</v>
      </c>
      <c r="GF80" s="426">
        <f t="shared" si="232"/>
        <v>0</v>
      </c>
      <c r="GG80" s="426">
        <f t="shared" si="233"/>
        <v>0</v>
      </c>
      <c r="GH80" s="426" t="e">
        <f t="shared" si="234"/>
        <v>#DIV/0!</v>
      </c>
      <c r="GI80" s="426">
        <f>GE80/AD80</f>
        <v>0</v>
      </c>
      <c r="GJ80" s="426"/>
      <c r="GK80" s="426"/>
      <c r="GL80" s="426">
        <f t="shared" si="235"/>
        <v>0</v>
      </c>
      <c r="GM80" s="112" t="e">
        <f t="shared" si="236"/>
        <v>#DIV/0!</v>
      </c>
      <c r="GN80" s="112">
        <v>0.4</v>
      </c>
      <c r="GO80" s="426"/>
      <c r="GP80" s="426"/>
      <c r="GQ80" s="426">
        <f>GO80/AD80</f>
        <v>0</v>
      </c>
      <c r="GR80" s="426"/>
      <c r="GS80" s="426"/>
      <c r="GT80" s="426">
        <f>GU80+GV80</f>
        <v>0</v>
      </c>
      <c r="GU80" s="426"/>
      <c r="GV80" s="426"/>
      <c r="GW80" s="426">
        <f t="shared" si="237"/>
        <v>0</v>
      </c>
      <c r="GX80" s="426">
        <f>GS80/AD80</f>
        <v>0</v>
      </c>
      <c r="GY80" s="426"/>
      <c r="GZ80" s="426"/>
      <c r="HA80" s="426"/>
      <c r="HB80" s="426"/>
      <c r="HC80" s="428" t="e">
        <f t="shared" si="238"/>
        <v>#DIV/0!</v>
      </c>
      <c r="HD80" s="433"/>
      <c r="HE80" s="426"/>
      <c r="HF80" s="426">
        <f t="shared" si="239"/>
        <v>0</v>
      </c>
      <c r="HG80" s="427">
        <f>GZ80/AD80</f>
        <v>0</v>
      </c>
      <c r="HH80" s="429">
        <f>(GO80+GZ80)/AD80</f>
        <v>0</v>
      </c>
      <c r="HI80" s="426">
        <f>HF80/AD80</f>
        <v>0</v>
      </c>
      <c r="HJ80" s="430">
        <v>6.31</v>
      </c>
      <c r="HK80" s="430"/>
      <c r="HL80" s="426"/>
      <c r="HM80" s="426"/>
      <c r="HN80" s="426">
        <f>(GO80+GZ80+HM80)/AD80</f>
        <v>0</v>
      </c>
      <c r="HO80" s="426"/>
      <c r="HP80" s="426">
        <f>(GP80+HA80+HM80+HO80)/AD80</f>
        <v>0</v>
      </c>
      <c r="HQ80" s="112" t="e">
        <f t="shared" si="240"/>
        <v>#DIV/0!</v>
      </c>
      <c r="HR80" s="426"/>
      <c r="HS80" s="426"/>
      <c r="HT80" s="426"/>
      <c r="HU80" s="431">
        <f t="shared" si="241"/>
        <v>0</v>
      </c>
      <c r="HV80" s="296"/>
      <c r="HW80" s="296">
        <f t="shared" si="242"/>
        <v>0</v>
      </c>
      <c r="HX80" s="344"/>
      <c r="HY80" s="342"/>
      <c r="HZ80" s="342"/>
      <c r="IA80" s="272"/>
      <c r="IB80" s="272"/>
      <c r="IC80" s="424"/>
      <c r="ID80" s="281"/>
      <c r="IE80" s="293"/>
      <c r="IF80" s="281"/>
      <c r="IG80" s="523"/>
      <c r="IH80" s="298"/>
      <c r="II80" s="303"/>
      <c r="IJ80" s="301"/>
      <c r="IK80" s="301"/>
      <c r="IL80" s="295"/>
      <c r="IM80" s="296"/>
      <c r="IN80" s="295"/>
      <c r="IO80" s="296"/>
      <c r="IP80" s="326"/>
      <c r="IQ80" s="326"/>
      <c r="IR80" s="326"/>
      <c r="IS80" s="326"/>
      <c r="IT80" s="289"/>
      <c r="IU80" s="289"/>
      <c r="IV80" s="289"/>
      <c r="IW80" s="289"/>
      <c r="IX80" s="289"/>
      <c r="IY80" s="289"/>
      <c r="IZ80" s="300"/>
      <c r="JA80" s="123"/>
      <c r="JB80" s="298"/>
      <c r="JC80" s="123"/>
      <c r="JD80" s="123"/>
      <c r="JE80" s="298"/>
    </row>
    <row r="81" spans="1:265" ht="24.95" customHeight="1">
      <c r="A81" s="89" t="s">
        <v>705</v>
      </c>
      <c r="B81" s="56" t="s">
        <v>35</v>
      </c>
      <c r="C81" s="56" t="s">
        <v>117</v>
      </c>
      <c r="D81" s="56">
        <v>2019</v>
      </c>
      <c r="E81" s="56"/>
      <c r="F81" s="56"/>
      <c r="G81" s="56"/>
      <c r="H81" s="56"/>
      <c r="I81" s="56"/>
      <c r="J81" s="56" t="s">
        <v>706</v>
      </c>
      <c r="K81" s="275" t="s">
        <v>713</v>
      </c>
      <c r="L81" s="178"/>
      <c r="M81" s="179"/>
      <c r="N81" s="180"/>
      <c r="O81" s="219"/>
      <c r="P81" s="219"/>
      <c r="Q81" s="219"/>
      <c r="R81" s="219"/>
      <c r="S81" s="219" t="e">
        <f t="shared" si="197"/>
        <v>#DIV/0!</v>
      </c>
      <c r="T81" s="225" t="e">
        <f t="shared" si="198"/>
        <v>#DIV/0!</v>
      </c>
      <c r="U81" s="225" t="e">
        <f t="shared" si="199"/>
        <v>#DIV/0!</v>
      </c>
      <c r="V81" s="225">
        <f t="shared" si="200"/>
        <v>0</v>
      </c>
      <c r="W81" s="219">
        <f t="shared" si="201"/>
        <v>0</v>
      </c>
      <c r="X81" s="220"/>
      <c r="Y81" s="228"/>
      <c r="Z81" s="220"/>
      <c r="AA81" s="220"/>
      <c r="AB81" s="221"/>
      <c r="AC81" s="57" t="s">
        <v>480</v>
      </c>
      <c r="AD81" s="345">
        <f t="shared" si="202"/>
        <v>19</v>
      </c>
      <c r="AE81" s="67"/>
      <c r="AF81" s="120"/>
      <c r="AG81" s="56">
        <v>19</v>
      </c>
      <c r="AH81" s="120"/>
      <c r="AI81" s="60"/>
      <c r="AJ81" s="95"/>
      <c r="AK81" s="9"/>
      <c r="AL81" s="81"/>
      <c r="AM81" s="81"/>
      <c r="AN81" s="81"/>
      <c r="AO81" s="81"/>
      <c r="AP81" s="81"/>
      <c r="AQ81" s="60"/>
      <c r="AR81" s="79"/>
      <c r="AS81" s="81"/>
      <c r="AT81" s="60"/>
      <c r="AU81" s="56"/>
      <c r="AV81" s="56"/>
      <c r="AW81" s="196"/>
      <c r="AX81" s="56"/>
      <c r="AY81" s="115"/>
      <c r="AZ81" s="115"/>
      <c r="BA81" s="100"/>
      <c r="BB81" s="216"/>
      <c r="BC81" s="102"/>
      <c r="BD81" s="102"/>
      <c r="BE81" s="216"/>
      <c r="BF81" s="102"/>
      <c r="BG81" s="172"/>
      <c r="BH81" s="215"/>
      <c r="BI81" s="172"/>
      <c r="BJ81" s="172"/>
      <c r="BK81" s="103"/>
      <c r="BL81" s="200"/>
      <c r="BM81" s="200"/>
      <c r="BN81" s="200"/>
      <c r="BO81" s="172"/>
      <c r="BP81" s="177"/>
      <c r="BQ81" s="103"/>
      <c r="BR81" s="104"/>
      <c r="BS81" s="104"/>
      <c r="BT81" s="104"/>
      <c r="BU81" s="170"/>
      <c r="BV81" s="268"/>
      <c r="BW81" s="268"/>
      <c r="BX81" s="169"/>
      <c r="BY81" s="268"/>
      <c r="BZ81" s="268"/>
      <c r="CA81" s="268"/>
      <c r="CB81" s="268" t="s">
        <v>177</v>
      </c>
      <c r="CC81" s="682"/>
      <c r="CD81" s="509"/>
      <c r="CE81" s="384">
        <v>43647</v>
      </c>
      <c r="CF81" s="377"/>
      <c r="CG81" s="494">
        <f t="shared" si="203"/>
        <v>1454.9</v>
      </c>
      <c r="CH81" s="262">
        <v>16</v>
      </c>
      <c r="CI81" s="262">
        <f t="shared" si="204"/>
        <v>17</v>
      </c>
      <c r="CJ81" s="257">
        <f t="shared" si="205"/>
        <v>16</v>
      </c>
      <c r="CK81" s="257">
        <f t="shared" si="206"/>
        <v>17</v>
      </c>
      <c r="CL81" s="257">
        <f t="shared" si="207"/>
        <v>0</v>
      </c>
      <c r="CM81" s="257">
        <f t="shared" si="208"/>
        <v>0</v>
      </c>
      <c r="CN81" s="263"/>
      <c r="CO81" s="263">
        <f t="shared" si="209"/>
        <v>0</v>
      </c>
      <c r="CP81" s="258"/>
      <c r="CQ81" s="699">
        <f t="shared" si="210"/>
        <v>44136</v>
      </c>
      <c r="CR81" s="391">
        <f t="shared" si="211"/>
        <v>44136</v>
      </c>
      <c r="CS81" s="388">
        <f>DATE(YEAR(CA81)+2,MONTH(CA81),DAY(CA81))</f>
        <v>731</v>
      </c>
      <c r="CT81" s="258"/>
      <c r="CU81" s="258"/>
      <c r="CV81" s="650">
        <f t="shared" si="212"/>
        <v>44166</v>
      </c>
      <c r="CW81" s="506">
        <f>CV81</f>
        <v>44166</v>
      </c>
      <c r="CX81" s="654"/>
      <c r="CY81" s="123"/>
      <c r="CZ81" s="127"/>
      <c r="DA81" s="127"/>
      <c r="DB81" s="127"/>
      <c r="DC81" s="127"/>
      <c r="DD81" s="127"/>
      <c r="DE81" s="56"/>
      <c r="DF81" s="56"/>
      <c r="DG81" s="56"/>
      <c r="DH81" s="56"/>
      <c r="DI81" s="56"/>
      <c r="DJ81" s="56"/>
      <c r="DK81" s="56"/>
      <c r="DL81" s="56"/>
      <c r="DM81" s="56"/>
      <c r="DN81" s="56"/>
      <c r="DO81" s="56"/>
      <c r="DP81" s="56"/>
      <c r="DQ81" s="56"/>
      <c r="DR81" s="56"/>
      <c r="DS81" s="613"/>
      <c r="DT81" s="613"/>
      <c r="DU81" s="613"/>
      <c r="DV81" s="615" t="str">
        <f t="shared" si="213"/>
        <v>0</v>
      </c>
      <c r="DW81" s="613"/>
      <c r="DX81" s="613"/>
      <c r="DY81" s="615" t="str">
        <f t="shared" si="214"/>
        <v>0</v>
      </c>
      <c r="DZ81" s="613"/>
      <c r="EA81" s="613"/>
      <c r="EB81" s="615" t="str">
        <f t="shared" si="215"/>
        <v>0</v>
      </c>
      <c r="EC81" s="613"/>
      <c r="ED81" s="613"/>
      <c r="EE81" s="615" t="str">
        <f t="shared" si="216"/>
        <v>0</v>
      </c>
      <c r="EF81" s="616"/>
      <c r="EG81" s="617"/>
      <c r="EH81" s="615" t="str">
        <f t="shared" si="217"/>
        <v>0</v>
      </c>
      <c r="EI81" s="614"/>
      <c r="EJ81" s="594"/>
      <c r="EK81" s="595"/>
      <c r="EL81" s="596" t="str">
        <f t="shared" si="218"/>
        <v>0</v>
      </c>
      <c r="EM81" s="594"/>
      <c r="EN81" s="595"/>
      <c r="EO81" s="596" t="str">
        <f t="shared" si="219"/>
        <v>0</v>
      </c>
      <c r="EP81" s="594"/>
      <c r="EQ81" s="595"/>
      <c r="ER81" s="596" t="str">
        <f t="shared" si="220"/>
        <v>0</v>
      </c>
      <c r="ES81" s="594"/>
      <c r="ET81" s="622"/>
      <c r="EU81" s="597" t="str">
        <f t="shared" si="221"/>
        <v>0</v>
      </c>
      <c r="EV81" s="598"/>
      <c r="EW81" s="599"/>
      <c r="EX81" s="596" t="str">
        <f t="shared" si="222"/>
        <v>0</v>
      </c>
      <c r="EY81" s="595"/>
      <c r="EZ81" s="600"/>
      <c r="FA81" s="596" t="str">
        <f t="shared" si="223"/>
        <v>0</v>
      </c>
      <c r="FB81" s="602"/>
      <c r="FC81" s="602"/>
      <c r="FD81" s="596" t="str">
        <f t="shared" si="224"/>
        <v>0</v>
      </c>
      <c r="FE81" s="602"/>
      <c r="FF81" s="602"/>
      <c r="FG81" s="596" t="str">
        <f t="shared" si="225"/>
        <v>0</v>
      </c>
      <c r="FH81" s="600"/>
      <c r="FI81" s="600"/>
      <c r="FJ81" s="596" t="str">
        <f t="shared" si="226"/>
        <v>0</v>
      </c>
      <c r="FK81" s="602"/>
      <c r="FL81" s="602"/>
      <c r="FM81" s="602"/>
      <c r="FN81" s="602"/>
      <c r="FO81" s="600">
        <f t="shared" si="227"/>
        <v>44136</v>
      </c>
      <c r="FP81" s="598">
        <f t="shared" si="228"/>
        <v>0</v>
      </c>
      <c r="FQ81" s="602"/>
      <c r="FR81" s="600">
        <f t="shared" si="229"/>
        <v>44166</v>
      </c>
      <c r="FS81" s="627"/>
      <c r="FT81" s="627"/>
      <c r="FU81" s="627"/>
      <c r="FV81" s="627"/>
      <c r="FW81" s="628">
        <f t="shared" si="230"/>
        <v>0</v>
      </c>
      <c r="FX81" s="628">
        <f t="shared" si="231"/>
        <v>1472.2</v>
      </c>
      <c r="FY81" s="624"/>
      <c r="FZ81" s="641"/>
      <c r="GA81" s="624"/>
      <c r="GB81" s="624"/>
      <c r="GC81" s="118"/>
      <c r="GD81" s="118"/>
      <c r="GE81" s="96">
        <f t="shared" si="189"/>
        <v>0</v>
      </c>
      <c r="GF81" s="70">
        <f t="shared" si="232"/>
        <v>0</v>
      </c>
      <c r="GG81" s="97">
        <f t="shared" si="233"/>
        <v>0</v>
      </c>
      <c r="GH81" s="52" t="e">
        <f t="shared" si="234"/>
        <v>#DIV/0!</v>
      </c>
      <c r="GI81" s="52">
        <f>GE81/AD81</f>
        <v>0</v>
      </c>
      <c r="GJ81" s="96"/>
      <c r="GK81" s="70"/>
      <c r="GL81" s="97">
        <f t="shared" si="235"/>
        <v>0</v>
      </c>
      <c r="GM81" s="138" t="e">
        <f t="shared" si="236"/>
        <v>#DIV/0!</v>
      </c>
      <c r="GN81" s="139">
        <v>0.4</v>
      </c>
      <c r="GO81" s="96"/>
      <c r="GP81" s="70"/>
      <c r="GQ81" s="23">
        <f>GO81/AD81</f>
        <v>0</v>
      </c>
      <c r="GR81" s="98"/>
      <c r="GS81" s="96"/>
      <c r="GT81" s="70">
        <f>GU81+GV81</f>
        <v>0</v>
      </c>
      <c r="GU81" s="90"/>
      <c r="GV81" s="90"/>
      <c r="GW81" s="98">
        <f t="shared" si="237"/>
        <v>0</v>
      </c>
      <c r="GX81" s="52">
        <f>GS81/AD81</f>
        <v>0</v>
      </c>
      <c r="GY81" s="70"/>
      <c r="GZ81" s="96"/>
      <c r="HA81" s="70"/>
      <c r="HB81" s="70"/>
      <c r="HC81" s="41" t="e">
        <f t="shared" si="238"/>
        <v>#DIV/0!</v>
      </c>
      <c r="HD81" s="329"/>
      <c r="HE81" s="70"/>
      <c r="HF81" s="92">
        <f t="shared" si="239"/>
        <v>0</v>
      </c>
      <c r="HG81" s="23">
        <f>GZ81/AD81</f>
        <v>0</v>
      </c>
      <c r="HH81" s="84">
        <f>(GO81+GZ81)/AD81</f>
        <v>0</v>
      </c>
      <c r="HI81" s="92">
        <f>HF81/AD81</f>
        <v>0</v>
      </c>
      <c r="HJ81" s="93">
        <v>6.31</v>
      </c>
      <c r="HK81" s="93"/>
      <c r="HL81" s="94"/>
      <c r="HM81" s="94"/>
      <c r="HN81" s="52">
        <f>(GO81+GZ81+HM81)/AD81</f>
        <v>0</v>
      </c>
      <c r="HO81" s="94"/>
      <c r="HP81" s="52">
        <f>(GP81+HA81+HM81+HO81)/AD81</f>
        <v>0</v>
      </c>
      <c r="HQ81" s="53" t="e">
        <f t="shared" si="240"/>
        <v>#DIV/0!</v>
      </c>
      <c r="HR81" s="94"/>
      <c r="HS81" s="94"/>
      <c r="HT81" s="70"/>
      <c r="HU81" s="42">
        <f t="shared" si="241"/>
        <v>0</v>
      </c>
      <c r="HV81" s="296"/>
      <c r="HW81" s="296">
        <f t="shared" si="242"/>
        <v>0</v>
      </c>
      <c r="HX81" s="297"/>
      <c r="HY81" s="300"/>
      <c r="HZ81" s="300"/>
      <c r="IA81" s="272"/>
      <c r="IB81" s="272"/>
      <c r="IC81" s="424"/>
      <c r="ID81" s="281"/>
      <c r="IE81" s="293"/>
      <c r="IF81" s="281"/>
      <c r="IG81" s="523"/>
      <c r="IH81" s="298"/>
      <c r="II81" s="303"/>
      <c r="IJ81" s="301"/>
      <c r="IK81" s="301"/>
      <c r="IL81" s="295"/>
      <c r="IM81" s="296"/>
      <c r="IN81" s="295"/>
      <c r="IO81" s="296"/>
      <c r="IP81" s="326"/>
      <c r="IQ81" s="326"/>
      <c r="IR81" s="326"/>
      <c r="IS81" s="326"/>
      <c r="IT81" s="289"/>
      <c r="IU81" s="289"/>
      <c r="IV81" s="289"/>
      <c r="IW81" s="289"/>
      <c r="IX81" s="289"/>
      <c r="IY81" s="289"/>
      <c r="IZ81" s="300"/>
      <c r="JA81" s="123"/>
      <c r="JB81" s="298"/>
      <c r="JC81" s="123"/>
      <c r="JD81" s="291"/>
      <c r="JE81" s="298"/>
    </row>
    <row r="82" spans="1:265" ht="24.95" customHeight="1">
      <c r="A82" s="89" t="s">
        <v>625</v>
      </c>
      <c r="B82" s="56" t="s">
        <v>40</v>
      </c>
      <c r="C82" s="56" t="s">
        <v>119</v>
      </c>
      <c r="D82" s="56">
        <v>2018</v>
      </c>
      <c r="E82" s="56" t="s">
        <v>627</v>
      </c>
      <c r="F82" s="56" t="s">
        <v>565</v>
      </c>
      <c r="G82" s="56" t="s">
        <v>297</v>
      </c>
      <c r="H82" s="58" t="s">
        <v>183</v>
      </c>
      <c r="I82" s="56"/>
      <c r="J82" s="56"/>
      <c r="K82" s="275"/>
      <c r="L82" s="178"/>
      <c r="M82" s="179"/>
      <c r="N82" s="180"/>
      <c r="O82" s="219">
        <v>1627</v>
      </c>
      <c r="P82" s="219">
        <v>158480</v>
      </c>
      <c r="Q82" s="219"/>
      <c r="R82" s="219" t="e">
        <f>P82/AH82</f>
        <v>#DIV/0!</v>
      </c>
      <c r="S82" s="219">
        <f t="shared" si="197"/>
        <v>97.406269207129682</v>
      </c>
      <c r="T82" s="225">
        <f t="shared" si="198"/>
        <v>0</v>
      </c>
      <c r="U82" s="225" t="e">
        <f t="shared" si="199"/>
        <v>#DIV/0!</v>
      </c>
      <c r="V82" s="225">
        <f t="shared" si="200"/>
        <v>0</v>
      </c>
      <c r="W82" s="219">
        <f t="shared" si="201"/>
        <v>95.705882352941174</v>
      </c>
      <c r="X82" s="220"/>
      <c r="Y82" s="221"/>
      <c r="Z82" s="220"/>
      <c r="AA82" s="220"/>
      <c r="AB82" s="221"/>
      <c r="AC82" s="56" t="s">
        <v>15</v>
      </c>
      <c r="AD82" s="345">
        <f t="shared" si="202"/>
        <v>17</v>
      </c>
      <c r="AE82" s="56">
        <v>17</v>
      </c>
      <c r="AF82" s="67"/>
      <c r="AG82" s="67"/>
      <c r="AH82" s="135"/>
      <c r="AI82" s="60">
        <v>1598.71</v>
      </c>
      <c r="AJ82" s="95"/>
      <c r="AK82" s="9" t="e">
        <f>AJ82/AH82</f>
        <v>#DIV/0!</v>
      </c>
      <c r="AL82" s="81"/>
      <c r="AM82" s="81"/>
      <c r="AN82" s="81"/>
      <c r="AO82" s="81"/>
      <c r="AP82" s="81"/>
      <c r="AQ82" s="60"/>
      <c r="AR82" s="79"/>
      <c r="AS82" s="81"/>
      <c r="AT82" s="60"/>
      <c r="AU82" s="59"/>
      <c r="AV82" s="56"/>
      <c r="AW82" s="253">
        <v>42978</v>
      </c>
      <c r="AX82" s="196"/>
      <c r="AY82" s="115"/>
      <c r="AZ82" s="115"/>
      <c r="BA82" s="100"/>
      <c r="BB82" s="216"/>
      <c r="BC82" s="102"/>
      <c r="BD82" s="102"/>
      <c r="BE82" s="216"/>
      <c r="BF82" s="102"/>
      <c r="BG82" s="172"/>
      <c r="BH82" s="215"/>
      <c r="BI82" s="172"/>
      <c r="BJ82" s="172"/>
      <c r="BK82" s="103"/>
      <c r="BL82" s="200"/>
      <c r="BM82" s="200"/>
      <c r="BN82" s="200"/>
      <c r="BO82" s="172"/>
      <c r="BP82" s="177"/>
      <c r="BQ82" s="103"/>
      <c r="BR82" s="104"/>
      <c r="BS82" s="104"/>
      <c r="BT82" s="104"/>
      <c r="BU82" s="170"/>
      <c r="BV82" s="268"/>
      <c r="BW82" s="268"/>
      <c r="BX82" s="169"/>
      <c r="BY82" s="268"/>
      <c r="BZ82" s="268"/>
      <c r="CA82" s="268"/>
      <c r="CB82" s="268" t="s">
        <v>177</v>
      </c>
      <c r="CC82" s="682"/>
      <c r="CD82" s="509"/>
      <c r="CE82" s="384">
        <v>43952</v>
      </c>
      <c r="CF82" s="377"/>
      <c r="CG82" s="494">
        <f t="shared" si="203"/>
        <v>1465.0666666666666</v>
      </c>
      <c r="CH82" s="262">
        <v>14</v>
      </c>
      <c r="CI82" s="262">
        <f t="shared" si="204"/>
        <v>15</v>
      </c>
      <c r="CJ82" s="257">
        <f t="shared" si="205"/>
        <v>14</v>
      </c>
      <c r="CK82" s="257">
        <f t="shared" si="206"/>
        <v>16</v>
      </c>
      <c r="CL82" s="257">
        <f t="shared" si="207"/>
        <v>0</v>
      </c>
      <c r="CM82" s="257">
        <f t="shared" si="208"/>
        <v>1</v>
      </c>
      <c r="CN82" s="263"/>
      <c r="CO82" s="263">
        <f t="shared" si="209"/>
        <v>0</v>
      </c>
      <c r="CP82" s="258"/>
      <c r="CQ82" s="699">
        <f t="shared" si="210"/>
        <v>44378</v>
      </c>
      <c r="CR82" s="391">
        <f t="shared" si="211"/>
        <v>44378</v>
      </c>
      <c r="CS82" s="388"/>
      <c r="CT82" s="258"/>
      <c r="CU82" s="258"/>
      <c r="CV82" s="651">
        <f t="shared" si="212"/>
        <v>44409</v>
      </c>
      <c r="CW82" s="506">
        <f>DATE(YEAR(CV82),MONTH(CV82)+1,DAY(CV82))</f>
        <v>44440</v>
      </c>
      <c r="CX82" s="654"/>
      <c r="CY82" s="123"/>
      <c r="CZ82" s="127"/>
      <c r="DA82" s="127"/>
      <c r="DB82" s="127"/>
      <c r="DC82" s="127"/>
      <c r="DD82" s="127"/>
      <c r="DE82" s="56"/>
      <c r="DF82" s="56"/>
      <c r="DG82" s="56"/>
      <c r="DH82" s="56"/>
      <c r="DI82" s="56"/>
      <c r="DJ82" s="56"/>
      <c r="DK82" s="56"/>
      <c r="DL82" s="56"/>
      <c r="DM82" s="56"/>
      <c r="DN82" s="56"/>
      <c r="DO82" s="56"/>
      <c r="DP82" s="56"/>
      <c r="DQ82" s="56"/>
      <c r="DR82" s="56"/>
      <c r="DS82" s="610">
        <v>42927</v>
      </c>
      <c r="DT82" s="613">
        <v>42942</v>
      </c>
      <c r="DU82" s="613">
        <v>42927</v>
      </c>
      <c r="DV82" s="615">
        <f t="shared" si="213"/>
        <v>-15</v>
      </c>
      <c r="DW82" s="613">
        <v>43140</v>
      </c>
      <c r="DX82" s="613">
        <v>43138</v>
      </c>
      <c r="DY82" s="615">
        <f t="shared" si="214"/>
        <v>-2</v>
      </c>
      <c r="DZ82" s="613">
        <v>43069</v>
      </c>
      <c r="EA82" s="613">
        <v>43073</v>
      </c>
      <c r="EB82" s="615">
        <f t="shared" si="215"/>
        <v>4</v>
      </c>
      <c r="EC82" s="613">
        <v>43125</v>
      </c>
      <c r="ED82" s="613">
        <f ca="1">IF(EC82&lt;TODAY(),TODAY(),EC82)</f>
        <v>43163</v>
      </c>
      <c r="EE82" s="615">
        <f t="shared" ca="1" si="216"/>
        <v>38</v>
      </c>
      <c r="EF82" s="613">
        <v>43245</v>
      </c>
      <c r="EG82" s="613">
        <f ca="1">IF(EF82&lt;TODAY(),TODAY(),EF82)</f>
        <v>43245</v>
      </c>
      <c r="EH82" s="615">
        <f t="shared" ca="1" si="217"/>
        <v>0</v>
      </c>
      <c r="EI82" s="618"/>
      <c r="EJ82" s="594">
        <v>43552</v>
      </c>
      <c r="EK82" s="600">
        <f ca="1">IF(EJ82&lt;TODAY(),TODAY(),EJ82)</f>
        <v>43552</v>
      </c>
      <c r="EL82" s="596">
        <f t="shared" ca="1" si="218"/>
        <v>0</v>
      </c>
      <c r="EM82" s="594">
        <v>43567</v>
      </c>
      <c r="EN82" s="600">
        <f ca="1">IF(EM82&lt;TODAY(),TODAY(),EM82)</f>
        <v>43567</v>
      </c>
      <c r="EO82" s="596">
        <f t="shared" ca="1" si="219"/>
        <v>0</v>
      </c>
      <c r="EP82" s="594"/>
      <c r="EQ82" s="600">
        <f ca="1">IF(EP82&lt;TODAY(),TODAY(),EP82)</f>
        <v>43163</v>
      </c>
      <c r="ER82" s="596" t="str">
        <f t="shared" ca="1" si="220"/>
        <v>0</v>
      </c>
      <c r="ES82" s="594"/>
      <c r="ET82" s="622">
        <f ca="1">IF(ES82&lt;TODAY(),TODAY(),ES82)</f>
        <v>43163</v>
      </c>
      <c r="EU82" s="597" t="str">
        <f t="shared" ca="1" si="221"/>
        <v>0</v>
      </c>
      <c r="EV82" s="598"/>
      <c r="EW82" s="600">
        <f ca="1">IF(EV82&lt;TODAY(),TODAY(),EV82)</f>
        <v>43163</v>
      </c>
      <c r="EX82" s="596" t="str">
        <f t="shared" ca="1" si="222"/>
        <v>0</v>
      </c>
      <c r="EY82" s="600"/>
      <c r="EZ82" s="600">
        <f ca="1">IF(EY82&lt;TODAY(),TODAY(),EY82)</f>
        <v>43163</v>
      </c>
      <c r="FA82" s="596" t="str">
        <f t="shared" ca="1" si="223"/>
        <v>0</v>
      </c>
      <c r="FB82" s="600"/>
      <c r="FC82" s="600">
        <f ca="1">IF(FB82&lt;TODAY(),TODAY(),FB82)</f>
        <v>43163</v>
      </c>
      <c r="FD82" s="596" t="str">
        <f t="shared" ca="1" si="224"/>
        <v>0</v>
      </c>
      <c r="FE82" s="600"/>
      <c r="FF82" s="600">
        <f ca="1">IF(FE82&lt;TODAY(),TODAY(),FE82)</f>
        <v>43163</v>
      </c>
      <c r="FG82" s="596" t="str">
        <f t="shared" ca="1" si="225"/>
        <v>0</v>
      </c>
      <c r="FH82" s="600"/>
      <c r="FI82" s="600">
        <f ca="1">IF(FH82&lt;TODAY(),TODAY(),FH82)</f>
        <v>43163</v>
      </c>
      <c r="FJ82" s="596" t="str">
        <f t="shared" ca="1" si="226"/>
        <v>0</v>
      </c>
      <c r="FK82" s="600"/>
      <c r="FL82" s="600"/>
      <c r="FM82" s="600"/>
      <c r="FN82" s="600">
        <v>44132</v>
      </c>
      <c r="FO82" s="600">
        <f t="shared" si="227"/>
        <v>44378</v>
      </c>
      <c r="FP82" s="598">
        <f t="shared" ca="1" si="228"/>
        <v>18.833333333333332</v>
      </c>
      <c r="FQ82" s="600">
        <v>44162</v>
      </c>
      <c r="FR82" s="600">
        <f t="shared" si="229"/>
        <v>44440</v>
      </c>
      <c r="FS82" s="627">
        <v>0</v>
      </c>
      <c r="FT82" s="627">
        <v>0</v>
      </c>
      <c r="FU82" s="627"/>
      <c r="FV82" s="627"/>
      <c r="FW82" s="628">
        <f t="shared" ca="1" si="230"/>
        <v>0.83333333333333337</v>
      </c>
      <c r="FX82" s="628">
        <f t="shared" si="231"/>
        <v>9.2666666666666675</v>
      </c>
      <c r="FY82" s="624"/>
      <c r="FZ82" s="641"/>
      <c r="GA82" s="624" t="s">
        <v>839</v>
      </c>
      <c r="GB82" s="624"/>
      <c r="GC82" s="118"/>
      <c r="GD82" s="118"/>
      <c r="GE82" s="96">
        <f t="shared" si="189"/>
        <v>3117742</v>
      </c>
      <c r="GF82" s="70">
        <f t="shared" si="232"/>
        <v>0</v>
      </c>
      <c r="GG82" s="97">
        <f t="shared" si="233"/>
        <v>-3117742</v>
      </c>
      <c r="GH82" s="52">
        <f t="shared" si="234"/>
        <v>1950.1610673605594</v>
      </c>
      <c r="GI82" s="52" t="e">
        <f>GE82/AH82</f>
        <v>#DIV/0!</v>
      </c>
      <c r="GJ82" s="96"/>
      <c r="GK82" s="70"/>
      <c r="GL82" s="97">
        <f t="shared" si="235"/>
        <v>0</v>
      </c>
      <c r="GM82" s="138" t="e">
        <f t="shared" si="236"/>
        <v>#DIV/0!</v>
      </c>
      <c r="GN82" s="139">
        <v>0.4</v>
      </c>
      <c r="GO82" s="96">
        <v>904384</v>
      </c>
      <c r="GP82" s="70"/>
      <c r="GQ82" s="52" t="e">
        <f>GO82/AH82</f>
        <v>#DIV/0!</v>
      </c>
      <c r="GR82" s="98"/>
      <c r="GS82" s="96">
        <v>1890358</v>
      </c>
      <c r="GT82" s="70"/>
      <c r="GU82" s="90"/>
      <c r="GV82" s="90"/>
      <c r="GW82" s="98">
        <f t="shared" si="237"/>
        <v>-1890358</v>
      </c>
      <c r="GX82" s="52" t="e">
        <f>GS82/AH82</f>
        <v>#DIV/0!</v>
      </c>
      <c r="GY82" s="70"/>
      <c r="GZ82" s="307">
        <v>323000</v>
      </c>
      <c r="HA82" s="70"/>
      <c r="HB82" s="70"/>
      <c r="HC82" s="41">
        <f t="shared" si="238"/>
        <v>0.10360061865285838</v>
      </c>
      <c r="HD82" s="96"/>
      <c r="HE82" s="70"/>
      <c r="HF82" s="92">
        <f t="shared" si="239"/>
        <v>-323000</v>
      </c>
      <c r="HG82" s="23" t="e">
        <f>GZ82/AH82</f>
        <v>#DIV/0!</v>
      </c>
      <c r="HH82" s="84" t="e">
        <f>(GO82+GZ82)/AH82</f>
        <v>#DIV/0!</v>
      </c>
      <c r="HI82" s="92" t="e">
        <f>HF82/AH82</f>
        <v>#DIV/0!</v>
      </c>
      <c r="HJ82" s="93">
        <v>6.31</v>
      </c>
      <c r="HK82" s="93"/>
      <c r="HL82" s="94"/>
      <c r="HM82" s="94"/>
      <c r="HN82" s="52" t="e">
        <f>(GO82+GZ82+HM82)/AH82</f>
        <v>#DIV/0!</v>
      </c>
      <c r="HO82" s="94"/>
      <c r="HP82" s="52" t="e">
        <f>(GP82+HA82+HM82+HO82)/AH82</f>
        <v>#DIV/0!</v>
      </c>
      <c r="HQ82" s="53">
        <f t="shared" si="240"/>
        <v>0.39367721896167163</v>
      </c>
      <c r="HR82" s="94"/>
      <c r="HS82" s="94"/>
      <c r="HT82" s="70"/>
      <c r="HU82" s="42">
        <f t="shared" si="241"/>
        <v>3117742</v>
      </c>
      <c r="HV82" s="296">
        <v>156188</v>
      </c>
      <c r="HW82" s="296">
        <f t="shared" si="242"/>
        <v>46856</v>
      </c>
      <c r="HX82" s="252">
        <v>42877</v>
      </c>
      <c r="HY82" s="356">
        <v>15110</v>
      </c>
      <c r="HZ82" s="488">
        <v>43090</v>
      </c>
      <c r="IA82" s="341">
        <v>7809</v>
      </c>
      <c r="IB82" s="202">
        <v>43073</v>
      </c>
      <c r="IC82" s="424">
        <v>8318</v>
      </c>
      <c r="ID82" s="196">
        <v>43145</v>
      </c>
      <c r="IE82" s="62">
        <v>15619</v>
      </c>
      <c r="IF82" s="196"/>
      <c r="IG82" s="62"/>
      <c r="IH82" s="56"/>
      <c r="II82" s="425"/>
      <c r="IJ82" s="488"/>
      <c r="IK82" s="341"/>
      <c r="IL82" s="127"/>
      <c r="IM82" s="424"/>
      <c r="IN82" s="127"/>
      <c r="IO82" s="424"/>
      <c r="IP82" s="56"/>
      <c r="IQ82" s="56"/>
      <c r="IR82" s="56"/>
      <c r="IS82" s="56"/>
      <c r="IT82" s="56"/>
      <c r="IU82" s="56"/>
      <c r="IV82" s="56"/>
      <c r="IW82" s="56"/>
      <c r="IX82" s="56"/>
      <c r="IY82" s="56"/>
      <c r="IZ82" s="342">
        <v>15619</v>
      </c>
      <c r="JA82" s="299"/>
      <c r="JB82" s="56"/>
      <c r="JC82" s="299"/>
      <c r="JD82" s="299"/>
      <c r="JE82" s="56"/>
    </row>
    <row r="83" spans="1:265" ht="24.95" customHeight="1">
      <c r="A83" s="89" t="s">
        <v>738</v>
      </c>
      <c r="B83" s="56" t="s">
        <v>40</v>
      </c>
      <c r="C83" s="56" t="s">
        <v>119</v>
      </c>
      <c r="D83" s="56">
        <v>2018</v>
      </c>
      <c r="E83" s="56" t="s">
        <v>665</v>
      </c>
      <c r="F83" s="56" t="s">
        <v>565</v>
      </c>
      <c r="G83" s="56" t="s">
        <v>697</v>
      </c>
      <c r="H83" s="58" t="s">
        <v>183</v>
      </c>
      <c r="I83" s="56"/>
      <c r="J83" s="56"/>
      <c r="K83" s="275" t="s">
        <v>746</v>
      </c>
      <c r="L83" s="178"/>
      <c r="M83" s="179"/>
      <c r="N83" s="180"/>
      <c r="O83" s="219">
        <v>2342</v>
      </c>
      <c r="P83" s="219">
        <v>270000</v>
      </c>
      <c r="Q83" s="219"/>
      <c r="R83" s="219" t="e">
        <f>P83/AH83</f>
        <v>#DIV/0!</v>
      </c>
      <c r="S83" s="219">
        <f t="shared" si="197"/>
        <v>115.28608027327071</v>
      </c>
      <c r="T83" s="225">
        <f t="shared" si="198"/>
        <v>0</v>
      </c>
      <c r="U83" s="225" t="e">
        <f t="shared" si="199"/>
        <v>#DIV/0!</v>
      </c>
      <c r="V83" s="225">
        <f t="shared" si="200"/>
        <v>0</v>
      </c>
      <c r="W83" s="219">
        <f t="shared" si="201"/>
        <v>70.969696969696969</v>
      </c>
      <c r="X83" s="220"/>
      <c r="Y83" s="221"/>
      <c r="Z83" s="220" t="s">
        <v>203</v>
      </c>
      <c r="AA83" s="220"/>
      <c r="AB83" s="221"/>
      <c r="AC83" s="56" t="s">
        <v>15</v>
      </c>
      <c r="AD83" s="345">
        <f t="shared" si="202"/>
        <v>33</v>
      </c>
      <c r="AE83" s="56">
        <v>33</v>
      </c>
      <c r="AF83" s="67"/>
      <c r="AG83" s="67"/>
      <c r="AH83" s="135"/>
      <c r="AI83" s="60">
        <v>2595.59</v>
      </c>
      <c r="AJ83" s="95"/>
      <c r="AK83" s="9" t="e">
        <f>AJ83/AH83</f>
        <v>#DIV/0!</v>
      </c>
      <c r="AL83" s="81"/>
      <c r="AM83" s="81"/>
      <c r="AN83" s="81"/>
      <c r="AO83" s="81"/>
      <c r="AP83" s="81"/>
      <c r="AQ83" s="60"/>
      <c r="AR83" s="79"/>
      <c r="AS83" s="81"/>
      <c r="AT83" s="60"/>
      <c r="AU83" s="59"/>
      <c r="AV83" s="56"/>
      <c r="AW83" s="253"/>
      <c r="AX83" s="196"/>
      <c r="AY83" s="115"/>
      <c r="AZ83" s="115"/>
      <c r="BA83" s="100"/>
      <c r="BB83" s="216"/>
      <c r="BC83" s="102"/>
      <c r="BD83" s="102"/>
      <c r="BE83" s="216"/>
      <c r="BF83" s="102"/>
      <c r="BG83" s="172"/>
      <c r="BH83" s="215"/>
      <c r="BI83" s="172"/>
      <c r="BJ83" s="172"/>
      <c r="BK83" s="103"/>
      <c r="BL83" s="200"/>
      <c r="BM83" s="200"/>
      <c r="BN83" s="200"/>
      <c r="BO83" s="172"/>
      <c r="BP83" s="177"/>
      <c r="BQ83" s="103"/>
      <c r="BR83" s="104"/>
      <c r="BS83" s="104"/>
      <c r="BT83" s="104"/>
      <c r="BU83" s="170"/>
      <c r="BV83" s="268"/>
      <c r="BW83" s="268"/>
      <c r="BX83" s="169"/>
      <c r="BY83" s="268"/>
      <c r="BZ83" s="268"/>
      <c r="CA83" s="268"/>
      <c r="CB83" s="268" t="s">
        <v>177</v>
      </c>
      <c r="CC83" s="682"/>
      <c r="CD83" s="509"/>
      <c r="CE83" s="384">
        <v>43539</v>
      </c>
      <c r="CF83" s="377"/>
      <c r="CG83" s="494">
        <f t="shared" si="203"/>
        <v>1451.3</v>
      </c>
      <c r="CH83" s="262">
        <v>14</v>
      </c>
      <c r="CI83" s="262">
        <f t="shared" si="204"/>
        <v>15</v>
      </c>
      <c r="CJ83" s="257">
        <f t="shared" si="205"/>
        <v>14</v>
      </c>
      <c r="CK83" s="257">
        <f t="shared" si="206"/>
        <v>15</v>
      </c>
      <c r="CL83" s="257">
        <f t="shared" si="207"/>
        <v>0</v>
      </c>
      <c r="CM83" s="257">
        <f t="shared" si="208"/>
        <v>0</v>
      </c>
      <c r="CN83" s="263"/>
      <c r="CO83" s="263">
        <f t="shared" si="209"/>
        <v>0</v>
      </c>
      <c r="CP83" s="258"/>
      <c r="CQ83" s="699">
        <f t="shared" si="210"/>
        <v>43966</v>
      </c>
      <c r="CR83" s="391">
        <f t="shared" si="211"/>
        <v>43966</v>
      </c>
      <c r="CS83" s="388">
        <f>DATE(YEAR(CA83)+2,MONTH(CA83),DAY(CA83))</f>
        <v>731</v>
      </c>
      <c r="CT83" s="258"/>
      <c r="CU83" s="258"/>
      <c r="CV83" s="650">
        <f t="shared" si="212"/>
        <v>43997</v>
      </c>
      <c r="CW83" s="506">
        <f>CV83</f>
        <v>43997</v>
      </c>
      <c r="CX83" s="654"/>
      <c r="CY83" s="123"/>
      <c r="CZ83" s="127"/>
      <c r="DA83" s="127"/>
      <c r="DB83" s="127"/>
      <c r="DC83" s="127"/>
      <c r="DD83" s="127"/>
      <c r="DE83" s="56"/>
      <c r="DF83" s="56"/>
      <c r="DG83" s="56"/>
      <c r="DH83" s="56"/>
      <c r="DI83" s="56"/>
      <c r="DJ83" s="56"/>
      <c r="DK83" s="56"/>
      <c r="DL83" s="56"/>
      <c r="DM83" s="56"/>
      <c r="DN83" s="56"/>
      <c r="DO83" s="56"/>
      <c r="DP83" s="56"/>
      <c r="DQ83" s="56"/>
      <c r="DR83" s="56"/>
      <c r="DS83" s="610">
        <v>43017</v>
      </c>
      <c r="DT83" s="613">
        <v>43032</v>
      </c>
      <c r="DU83" s="613">
        <v>43039</v>
      </c>
      <c r="DV83" s="615">
        <f t="shared" si="213"/>
        <v>7</v>
      </c>
      <c r="DW83" s="613">
        <v>43140</v>
      </c>
      <c r="DX83" s="613">
        <v>43139</v>
      </c>
      <c r="DY83" s="615">
        <f t="shared" si="214"/>
        <v>-1</v>
      </c>
      <c r="DZ83" s="613">
        <v>43130</v>
      </c>
      <c r="EA83" s="613">
        <f ca="1">IF(DZ83&lt;TODAY(),TODAY(),DZ83)</f>
        <v>43163</v>
      </c>
      <c r="EB83" s="615">
        <f t="shared" ca="1" si="215"/>
        <v>33</v>
      </c>
      <c r="EC83" s="613">
        <v>43201</v>
      </c>
      <c r="ED83" s="613">
        <f ca="1">IF(EC83&lt;TODAY(),TODAY(),EC83)</f>
        <v>43201</v>
      </c>
      <c r="EE83" s="615">
        <f t="shared" ca="1" si="216"/>
        <v>0</v>
      </c>
      <c r="EF83" s="613">
        <v>43259</v>
      </c>
      <c r="EG83" s="613">
        <f ca="1">IF(EF83&lt;TODAY(),TODAY(),EF83)</f>
        <v>43259</v>
      </c>
      <c r="EH83" s="615">
        <f t="shared" ca="1" si="217"/>
        <v>0</v>
      </c>
      <c r="EI83" s="618"/>
      <c r="EJ83" s="594">
        <v>43551</v>
      </c>
      <c r="EK83" s="600">
        <f ca="1">IF(EJ83&lt;TODAY(),TODAY(),EJ83)</f>
        <v>43551</v>
      </c>
      <c r="EL83" s="596">
        <f t="shared" ca="1" si="218"/>
        <v>0</v>
      </c>
      <c r="EM83" s="594">
        <v>43566</v>
      </c>
      <c r="EN83" s="600">
        <f ca="1">IF(EM83&lt;TODAY(),TODAY(),EM83)</f>
        <v>43566</v>
      </c>
      <c r="EO83" s="596">
        <f t="shared" ca="1" si="219"/>
        <v>0</v>
      </c>
      <c r="EP83" s="594"/>
      <c r="EQ83" s="600">
        <f ca="1">IF(EP83&lt;TODAY(),TODAY(),EP83)</f>
        <v>43163</v>
      </c>
      <c r="ER83" s="596" t="str">
        <f t="shared" ca="1" si="220"/>
        <v>0</v>
      </c>
      <c r="ES83" s="594"/>
      <c r="ET83" s="622">
        <f ca="1">IF(ES83&lt;TODAY(),TODAY(),ES83)</f>
        <v>43163</v>
      </c>
      <c r="EU83" s="597" t="str">
        <f t="shared" ca="1" si="221"/>
        <v>0</v>
      </c>
      <c r="EV83" s="598"/>
      <c r="EW83" s="600">
        <f ca="1">IF(EV83&lt;TODAY(),TODAY(),EV83)</f>
        <v>43163</v>
      </c>
      <c r="EX83" s="596" t="str">
        <f t="shared" ca="1" si="222"/>
        <v>0</v>
      </c>
      <c r="EY83" s="600"/>
      <c r="EZ83" s="600">
        <f ca="1">IF(EY83&lt;TODAY(),TODAY(),EY83)</f>
        <v>43163</v>
      </c>
      <c r="FA83" s="596" t="str">
        <f t="shared" ca="1" si="223"/>
        <v>0</v>
      </c>
      <c r="FB83" s="600"/>
      <c r="FC83" s="600">
        <f ca="1">IF(FB83&lt;TODAY(),TODAY(),FB83)</f>
        <v>43163</v>
      </c>
      <c r="FD83" s="596" t="str">
        <f t="shared" ca="1" si="224"/>
        <v>0</v>
      </c>
      <c r="FE83" s="600"/>
      <c r="FF83" s="600">
        <f ca="1">IF(FE83&lt;TODAY(),TODAY(),FE83)</f>
        <v>43163</v>
      </c>
      <c r="FG83" s="596" t="str">
        <f t="shared" ca="1" si="225"/>
        <v>0</v>
      </c>
      <c r="FH83" s="600"/>
      <c r="FI83" s="600">
        <f ca="1">IF(FH83&lt;TODAY(),TODAY(),FH83)</f>
        <v>43163</v>
      </c>
      <c r="FJ83" s="596" t="str">
        <f t="shared" ca="1" si="226"/>
        <v>0</v>
      </c>
      <c r="FK83" s="600"/>
      <c r="FL83" s="600"/>
      <c r="FM83" s="600"/>
      <c r="FN83" s="600">
        <v>44105</v>
      </c>
      <c r="FO83" s="600">
        <f t="shared" si="227"/>
        <v>43966</v>
      </c>
      <c r="FP83" s="598">
        <f t="shared" ca="1" si="228"/>
        <v>17.966666666666665</v>
      </c>
      <c r="FQ83" s="600">
        <v>44134</v>
      </c>
      <c r="FR83" s="600">
        <f t="shared" si="229"/>
        <v>43997</v>
      </c>
      <c r="FS83" s="627">
        <v>0</v>
      </c>
      <c r="FT83" s="627">
        <v>0</v>
      </c>
      <c r="FU83" s="627"/>
      <c r="FV83" s="627"/>
      <c r="FW83" s="628">
        <f t="shared" ca="1" si="230"/>
        <v>1.3</v>
      </c>
      <c r="FX83" s="628">
        <f t="shared" si="231"/>
        <v>-4.5666666666666664</v>
      </c>
      <c r="FY83" s="624"/>
      <c r="FZ83" s="641"/>
      <c r="GA83" s="624" t="s">
        <v>841</v>
      </c>
      <c r="GB83" s="624"/>
      <c r="GC83" s="118"/>
      <c r="GD83" s="118"/>
      <c r="GE83" s="96">
        <f t="shared" si="189"/>
        <v>5451686</v>
      </c>
      <c r="GF83" s="70">
        <f t="shared" si="232"/>
        <v>0</v>
      </c>
      <c r="GG83" s="97">
        <f t="shared" si="233"/>
        <v>-5451686</v>
      </c>
      <c r="GH83" s="52">
        <f t="shared" si="234"/>
        <v>2100.3648496103006</v>
      </c>
      <c r="GI83" s="52" t="e">
        <f>GE83/AH83</f>
        <v>#DIV/0!</v>
      </c>
      <c r="GJ83" s="96"/>
      <c r="GK83" s="70"/>
      <c r="GL83" s="97">
        <f t="shared" si="235"/>
        <v>0</v>
      </c>
      <c r="GM83" s="138" t="e">
        <f t="shared" si="236"/>
        <v>#DIV/0!</v>
      </c>
      <c r="GN83" s="139">
        <v>0.4</v>
      </c>
      <c r="GO83" s="96">
        <v>1728972</v>
      </c>
      <c r="GP83" s="70"/>
      <c r="GQ83" s="23" t="e">
        <f>GO83/AH83</f>
        <v>#DIV/0!</v>
      </c>
      <c r="GR83" s="98"/>
      <c r="GS83" s="96">
        <v>3079214</v>
      </c>
      <c r="GT83" s="70">
        <f t="shared" ref="GT83:GT99" si="243">GU83+GV83</f>
        <v>0</v>
      </c>
      <c r="GU83" s="90"/>
      <c r="GV83" s="90"/>
      <c r="GW83" s="98">
        <f t="shared" si="237"/>
        <v>-3079214</v>
      </c>
      <c r="GX83" s="52" t="e">
        <f>GS83/AH83</f>
        <v>#DIV/0!</v>
      </c>
      <c r="GY83" s="70"/>
      <c r="GZ83" s="307">
        <v>643500</v>
      </c>
      <c r="HA83" s="70"/>
      <c r="HB83" s="70"/>
      <c r="HC83" s="91">
        <f t="shared" si="238"/>
        <v>0.11803687886646443</v>
      </c>
      <c r="HD83" s="96"/>
      <c r="HE83" s="70"/>
      <c r="HF83" s="92">
        <f t="shared" si="239"/>
        <v>-643500</v>
      </c>
      <c r="HG83" s="23" t="e">
        <f>GZ83/AH83</f>
        <v>#DIV/0!</v>
      </c>
      <c r="HH83" s="84" t="e">
        <f>(GO83+GZ83)/AH83</f>
        <v>#DIV/0!</v>
      </c>
      <c r="HI83" s="92" t="e">
        <f>HF83/AH83</f>
        <v>#DIV/0!</v>
      </c>
      <c r="HJ83" s="93">
        <v>6.31</v>
      </c>
      <c r="HK83" s="93"/>
      <c r="HL83" s="94"/>
      <c r="HM83" s="94"/>
      <c r="HN83" s="52" t="e">
        <f>(GO83+GZ83+HM83)/AH83</f>
        <v>#DIV/0!</v>
      </c>
      <c r="HO83" s="94"/>
      <c r="HP83" s="52" t="e">
        <f>(GP83+HA83+HM83+HO83)/AH83</f>
        <v>#DIV/0!</v>
      </c>
      <c r="HQ83" s="53">
        <f t="shared" si="240"/>
        <v>0.43518133656267072</v>
      </c>
      <c r="HR83" s="94"/>
      <c r="HS83" s="94"/>
      <c r="HT83" s="70"/>
      <c r="HU83" s="42">
        <f t="shared" si="241"/>
        <v>5451686</v>
      </c>
      <c r="HV83" s="296">
        <v>263611</v>
      </c>
      <c r="HW83" s="296">
        <f t="shared" si="242"/>
        <v>65903</v>
      </c>
      <c r="HX83" s="119">
        <v>43073</v>
      </c>
      <c r="HY83" s="342">
        <v>23541</v>
      </c>
      <c r="HZ83" s="488">
        <v>43080</v>
      </c>
      <c r="IA83" s="341">
        <v>16001</v>
      </c>
      <c r="IB83" s="308"/>
      <c r="IC83" s="521"/>
      <c r="ID83" s="308">
        <v>43145</v>
      </c>
      <c r="IE83" s="293">
        <v>26361</v>
      </c>
      <c r="IF83" s="308"/>
      <c r="IG83" s="523"/>
      <c r="IH83" s="298"/>
      <c r="II83" s="303"/>
      <c r="IJ83" s="488"/>
      <c r="IK83" s="341"/>
      <c r="IL83" s="295"/>
      <c r="IM83" s="300"/>
      <c r="IN83" s="295"/>
      <c r="IO83" s="300"/>
      <c r="IP83" s="326"/>
      <c r="IQ83" s="326"/>
      <c r="IR83" s="326"/>
      <c r="IS83" s="326"/>
      <c r="IT83" s="289"/>
      <c r="IU83" s="289"/>
      <c r="IV83" s="289"/>
      <c r="IW83" s="289"/>
      <c r="IX83" s="289"/>
      <c r="IY83" s="289"/>
      <c r="IZ83" s="342">
        <f>25078+1283</f>
        <v>26361</v>
      </c>
      <c r="JA83" s="123"/>
      <c r="JB83" s="298"/>
      <c r="JC83" s="123"/>
      <c r="JD83" s="123"/>
      <c r="JE83" s="298"/>
    </row>
    <row r="84" spans="1:265" ht="24.95" customHeight="1">
      <c r="A84" s="89" t="s">
        <v>737</v>
      </c>
      <c r="B84" s="56" t="s">
        <v>40</v>
      </c>
      <c r="C84" s="56" t="s">
        <v>119</v>
      </c>
      <c r="D84" s="56">
        <v>2018</v>
      </c>
      <c r="E84" s="56" t="s">
        <v>666</v>
      </c>
      <c r="F84" s="56" t="s">
        <v>565</v>
      </c>
      <c r="G84" s="56" t="s">
        <v>297</v>
      </c>
      <c r="H84" s="58" t="s">
        <v>183</v>
      </c>
      <c r="I84" s="56"/>
      <c r="J84" s="56" t="s">
        <v>671</v>
      </c>
      <c r="K84" s="275" t="s">
        <v>684</v>
      </c>
      <c r="L84" s="178"/>
      <c r="M84" s="179"/>
      <c r="N84" s="180"/>
      <c r="O84" s="219">
        <v>3601</v>
      </c>
      <c r="P84" s="219">
        <v>222501</v>
      </c>
      <c r="Q84" s="219"/>
      <c r="R84" s="219">
        <f>P84/AD84</f>
        <v>7672.4482758620688</v>
      </c>
      <c r="S84" s="219"/>
      <c r="T84" s="225"/>
      <c r="U84" s="225"/>
      <c r="V84" s="225">
        <f t="shared" si="200"/>
        <v>0</v>
      </c>
      <c r="W84" s="219">
        <f t="shared" si="201"/>
        <v>124.17241379310344</v>
      </c>
      <c r="X84" s="220"/>
      <c r="Y84" s="221"/>
      <c r="Z84" s="220" t="s">
        <v>197</v>
      </c>
      <c r="AA84" s="220"/>
      <c r="AB84" s="221"/>
      <c r="AC84" s="56" t="s">
        <v>16</v>
      </c>
      <c r="AD84" s="345">
        <f t="shared" si="202"/>
        <v>29</v>
      </c>
      <c r="AE84" s="67"/>
      <c r="AF84" s="56">
        <v>29</v>
      </c>
      <c r="AG84" s="120"/>
      <c r="AH84" s="120"/>
      <c r="AI84" s="60">
        <v>2297.19</v>
      </c>
      <c r="AJ84" s="95"/>
      <c r="AK84" s="60"/>
      <c r="AL84" s="81"/>
      <c r="AM84" s="81"/>
      <c r="AN84" s="81"/>
      <c r="AO84" s="81"/>
      <c r="AP84" s="81"/>
      <c r="AQ84" s="60"/>
      <c r="AR84" s="79"/>
      <c r="AS84" s="81"/>
      <c r="AT84" s="60"/>
      <c r="AU84" s="59"/>
      <c r="AV84" s="56"/>
      <c r="AW84" s="253"/>
      <c r="AX84" s="196"/>
      <c r="AY84" s="115"/>
      <c r="AZ84" s="115"/>
      <c r="BA84" s="100"/>
      <c r="BB84" s="216"/>
      <c r="BC84" s="102"/>
      <c r="BD84" s="102"/>
      <c r="BE84" s="216"/>
      <c r="BF84" s="102"/>
      <c r="BG84" s="172"/>
      <c r="BH84" s="215"/>
      <c r="BI84" s="172"/>
      <c r="BJ84" s="172"/>
      <c r="BK84" s="103"/>
      <c r="BL84" s="200"/>
      <c r="BM84" s="200"/>
      <c r="BN84" s="200"/>
      <c r="BO84" s="172"/>
      <c r="BP84" s="177"/>
      <c r="BQ84" s="103"/>
      <c r="BR84" s="104"/>
      <c r="BS84" s="104"/>
      <c r="BT84" s="104"/>
      <c r="BU84" s="170"/>
      <c r="BV84" s="268"/>
      <c r="BW84" s="268"/>
      <c r="BX84" s="169"/>
      <c r="BY84" s="268"/>
      <c r="BZ84" s="268"/>
      <c r="CA84" s="268"/>
      <c r="CB84" s="268" t="s">
        <v>177</v>
      </c>
      <c r="CC84" s="682"/>
      <c r="CD84" s="509"/>
      <c r="CE84" s="384">
        <v>43539</v>
      </c>
      <c r="CF84" s="377"/>
      <c r="CG84" s="494">
        <f t="shared" si="203"/>
        <v>1451.3</v>
      </c>
      <c r="CH84" s="262">
        <v>14</v>
      </c>
      <c r="CI84" s="262">
        <f t="shared" si="204"/>
        <v>15</v>
      </c>
      <c r="CJ84" s="257">
        <f t="shared" si="205"/>
        <v>14</v>
      </c>
      <c r="CK84" s="257">
        <f t="shared" si="206"/>
        <v>15</v>
      </c>
      <c r="CL84" s="257">
        <f t="shared" si="207"/>
        <v>0</v>
      </c>
      <c r="CM84" s="257">
        <f t="shared" si="208"/>
        <v>0</v>
      </c>
      <c r="CN84" s="263"/>
      <c r="CO84" s="263">
        <f t="shared" si="209"/>
        <v>0</v>
      </c>
      <c r="CP84" s="258"/>
      <c r="CQ84" s="699">
        <f t="shared" si="210"/>
        <v>43966</v>
      </c>
      <c r="CR84" s="391">
        <f t="shared" si="211"/>
        <v>43966</v>
      </c>
      <c r="CS84" s="388">
        <f>DATE(YEAR(CA84)+2,MONTH(CA84),DAY(CA84))</f>
        <v>731</v>
      </c>
      <c r="CT84" s="258"/>
      <c r="CU84" s="258"/>
      <c r="CV84" s="650">
        <f t="shared" si="212"/>
        <v>43997</v>
      </c>
      <c r="CW84" s="506">
        <f>CV84</f>
        <v>43997</v>
      </c>
      <c r="CX84" s="654"/>
      <c r="CY84" s="123"/>
      <c r="CZ84" s="127"/>
      <c r="DA84" s="127"/>
      <c r="DB84" s="127"/>
      <c r="DC84" s="127"/>
      <c r="DD84" s="127"/>
      <c r="DE84" s="56"/>
      <c r="DF84" s="56"/>
      <c r="DG84" s="56"/>
      <c r="DH84" s="56"/>
      <c r="DI84" s="56"/>
      <c r="DJ84" s="56"/>
      <c r="DK84" s="56"/>
      <c r="DL84" s="56"/>
      <c r="DM84" s="56"/>
      <c r="DN84" s="56"/>
      <c r="DO84" s="56"/>
      <c r="DP84" s="56"/>
      <c r="DQ84" s="56"/>
      <c r="DR84" s="56"/>
      <c r="DS84" s="610">
        <v>43017</v>
      </c>
      <c r="DT84" s="611">
        <v>43032</v>
      </c>
      <c r="DU84" s="611">
        <v>43017</v>
      </c>
      <c r="DV84" s="615">
        <f t="shared" si="213"/>
        <v>-15</v>
      </c>
      <c r="DW84" s="613">
        <v>43140</v>
      </c>
      <c r="DX84" s="610">
        <v>43138</v>
      </c>
      <c r="DY84" s="615">
        <f t="shared" si="214"/>
        <v>-2</v>
      </c>
      <c r="DZ84" s="613">
        <v>43125</v>
      </c>
      <c r="EA84" s="610">
        <f ca="1">IF(DZ84&lt;TODAY(),TODAY(),DZ84)</f>
        <v>43163</v>
      </c>
      <c r="EB84" s="615">
        <f t="shared" ca="1" si="215"/>
        <v>38</v>
      </c>
      <c r="EC84" s="613">
        <v>43200</v>
      </c>
      <c r="ED84" s="610">
        <f ca="1">IF(EC84&lt;TODAY(),TODAY(),EC84)</f>
        <v>43200</v>
      </c>
      <c r="EE84" s="615">
        <f t="shared" ca="1" si="216"/>
        <v>0</v>
      </c>
      <c r="EF84" s="613">
        <v>43259</v>
      </c>
      <c r="EG84" s="613">
        <f ca="1">IF(EF84&lt;TODAY(),TODAY(),EF84)</f>
        <v>43259</v>
      </c>
      <c r="EH84" s="615">
        <f t="shared" ca="1" si="217"/>
        <v>0</v>
      </c>
      <c r="EI84" s="618"/>
      <c r="EJ84" s="594">
        <v>43550</v>
      </c>
      <c r="EK84" s="600">
        <f ca="1">IF(EJ84&lt;TODAY(),TODAY(),EJ84)</f>
        <v>43550</v>
      </c>
      <c r="EL84" s="596">
        <f t="shared" ca="1" si="218"/>
        <v>0</v>
      </c>
      <c r="EM84" s="594">
        <v>43565</v>
      </c>
      <c r="EN84" s="600">
        <f ca="1">IF(EM84&lt;TODAY(),TODAY(),EM84)</f>
        <v>43565</v>
      </c>
      <c r="EO84" s="596">
        <f t="shared" ca="1" si="219"/>
        <v>0</v>
      </c>
      <c r="EP84" s="594"/>
      <c r="EQ84" s="600">
        <f ca="1">IF(EP84&lt;TODAY(),TODAY(),EP84)</f>
        <v>43163</v>
      </c>
      <c r="ER84" s="596" t="str">
        <f t="shared" ca="1" si="220"/>
        <v>0</v>
      </c>
      <c r="ES84" s="594"/>
      <c r="ET84" s="622">
        <f ca="1">IF(ES84&lt;TODAY(),TODAY(),ES84)</f>
        <v>43163</v>
      </c>
      <c r="EU84" s="597" t="str">
        <f t="shared" ca="1" si="221"/>
        <v>0</v>
      </c>
      <c r="EV84" s="598"/>
      <c r="EW84" s="600">
        <f ca="1">IF(EV84&lt;TODAY(),TODAY(),EV84)</f>
        <v>43163</v>
      </c>
      <c r="EX84" s="596" t="str">
        <f t="shared" ca="1" si="222"/>
        <v>0</v>
      </c>
      <c r="EY84" s="601"/>
      <c r="EZ84" s="600">
        <f ca="1">IF(EY84&lt;TODAY(),TODAY(),EY84)</f>
        <v>43163</v>
      </c>
      <c r="FA84" s="596" t="str">
        <f t="shared" ca="1" si="223"/>
        <v>0</v>
      </c>
      <c r="FB84" s="602"/>
      <c r="FC84" s="600">
        <f ca="1">IF(FB84&lt;TODAY(),TODAY(),FB84)</f>
        <v>43163</v>
      </c>
      <c r="FD84" s="596" t="str">
        <f t="shared" ca="1" si="224"/>
        <v>0</v>
      </c>
      <c r="FE84" s="602"/>
      <c r="FF84" s="600">
        <f ca="1">IF(FE84&lt;TODAY(),TODAY(),FE84)</f>
        <v>43163</v>
      </c>
      <c r="FG84" s="596" t="str">
        <f t="shared" ca="1" si="225"/>
        <v>0</v>
      </c>
      <c r="FH84" s="602"/>
      <c r="FI84" s="600">
        <f ca="1">IF(FH84&lt;TODAY(),TODAY(),FH84)</f>
        <v>43163</v>
      </c>
      <c r="FJ84" s="596" t="str">
        <f t="shared" ca="1" si="226"/>
        <v>0</v>
      </c>
      <c r="FK84" s="602"/>
      <c r="FL84" s="602"/>
      <c r="FM84" s="602"/>
      <c r="FN84" s="600">
        <v>44105</v>
      </c>
      <c r="FO84" s="600">
        <f t="shared" si="227"/>
        <v>43966</v>
      </c>
      <c r="FP84" s="598">
        <f t="shared" ca="1" si="228"/>
        <v>18</v>
      </c>
      <c r="FQ84" s="600">
        <v>44134</v>
      </c>
      <c r="FR84" s="600">
        <f t="shared" si="229"/>
        <v>43997</v>
      </c>
      <c r="FS84" s="627">
        <v>0</v>
      </c>
      <c r="FT84" s="627">
        <v>0</v>
      </c>
      <c r="FU84" s="627"/>
      <c r="FV84" s="627"/>
      <c r="FW84" s="628">
        <f t="shared" ca="1" si="230"/>
        <v>0.7</v>
      </c>
      <c r="FX84" s="628">
        <f t="shared" si="231"/>
        <v>-4.5666666666666664</v>
      </c>
      <c r="FY84" s="624"/>
      <c r="FZ84" s="641"/>
      <c r="GA84" s="624" t="s">
        <v>838</v>
      </c>
      <c r="GB84" s="624"/>
      <c r="GC84" s="118"/>
      <c r="GD84" s="118"/>
      <c r="GE84" s="96">
        <f t="shared" si="189"/>
        <v>4825202</v>
      </c>
      <c r="GF84" s="70">
        <f t="shared" si="232"/>
        <v>0</v>
      </c>
      <c r="GG84" s="97">
        <f t="shared" si="233"/>
        <v>-4825202</v>
      </c>
      <c r="GH84" s="52">
        <f t="shared" si="234"/>
        <v>2100.4801518376798</v>
      </c>
      <c r="GI84" s="52">
        <f t="shared" ref="GI84:GI95" si="244">GE84/AD84</f>
        <v>166386.27586206896</v>
      </c>
      <c r="GJ84" s="96"/>
      <c r="GK84" s="70"/>
      <c r="GL84" s="97">
        <f t="shared" si="235"/>
        <v>0</v>
      </c>
      <c r="GM84" s="138" t="e">
        <f t="shared" si="236"/>
        <v>#DIV/0!</v>
      </c>
      <c r="GN84" s="139">
        <v>0.4</v>
      </c>
      <c r="GO84" s="96">
        <v>1465688</v>
      </c>
      <c r="GP84" s="70"/>
      <c r="GQ84" s="52">
        <f t="shared" ref="GQ84:GQ95" si="245">GO84/AD84</f>
        <v>50540.965517241377</v>
      </c>
      <c r="GR84" s="98"/>
      <c r="GS84" s="96">
        <v>2579514</v>
      </c>
      <c r="GT84" s="70">
        <f t="shared" si="243"/>
        <v>0</v>
      </c>
      <c r="GU84" s="90"/>
      <c r="GV84" s="90"/>
      <c r="GW84" s="98">
        <f t="shared" si="237"/>
        <v>-2579514</v>
      </c>
      <c r="GX84" s="52">
        <f t="shared" ref="GX84:GX95" si="246">GS84/AD84</f>
        <v>88948.758620689652</v>
      </c>
      <c r="GY84" s="70"/>
      <c r="GZ84" s="307">
        <v>780000</v>
      </c>
      <c r="HA84" s="70"/>
      <c r="HB84" s="70"/>
      <c r="HC84" s="91">
        <f t="shared" si="238"/>
        <v>0.16165126351186956</v>
      </c>
      <c r="HD84" s="96"/>
      <c r="HE84" s="70"/>
      <c r="HF84" s="92">
        <f t="shared" si="239"/>
        <v>-780000</v>
      </c>
      <c r="HG84" s="52">
        <f t="shared" ref="HG84:HG95" si="247">GZ84/AD84</f>
        <v>26896.551724137931</v>
      </c>
      <c r="HH84" s="84">
        <f t="shared" ref="HH84:HH95" si="248">(GO84+GZ84)/AD84</f>
        <v>77437.517241379304</v>
      </c>
      <c r="HI84" s="92">
        <f t="shared" ref="HI84:HI95" si="249">HF84/AD84</f>
        <v>-26896.551724137931</v>
      </c>
      <c r="HJ84" s="93">
        <v>6.31</v>
      </c>
      <c r="HK84" s="93"/>
      <c r="HL84" s="94"/>
      <c r="HM84" s="94"/>
      <c r="HN84" s="52">
        <f t="shared" ref="HN84:HN95" si="250">(GO84+GZ84+HM84)/AD84</f>
        <v>77437.517241379304</v>
      </c>
      <c r="HO84" s="94"/>
      <c r="HP84" s="52">
        <f t="shared" ref="HP84:HP95" si="251">(GP84+HA84+HM84+HO84)/AD84</f>
        <v>0</v>
      </c>
      <c r="HQ84" s="53">
        <f t="shared" si="240"/>
        <v>0.46540808032492731</v>
      </c>
      <c r="HR84" s="94"/>
      <c r="HS84" s="94"/>
      <c r="HT84" s="70"/>
      <c r="HU84" s="99">
        <f t="shared" si="241"/>
        <v>4825202</v>
      </c>
      <c r="HV84" s="245">
        <v>243532</v>
      </c>
      <c r="HW84" s="245">
        <f t="shared" si="242"/>
        <v>60883</v>
      </c>
      <c r="HX84" s="119">
        <v>43073</v>
      </c>
      <c r="HY84" s="342">
        <v>22546</v>
      </c>
      <c r="HZ84" s="487">
        <v>43080</v>
      </c>
      <c r="IA84" s="358">
        <v>13984</v>
      </c>
      <c r="IB84" s="255">
        <v>43145</v>
      </c>
      <c r="IC84" s="360">
        <v>24353</v>
      </c>
      <c r="ID84" s="252"/>
      <c r="IE84" s="361"/>
      <c r="IF84" s="252"/>
      <c r="IG84" s="361"/>
      <c r="IH84" s="312"/>
      <c r="II84" s="362"/>
      <c r="IJ84" s="487"/>
      <c r="IK84" s="358"/>
      <c r="IL84" s="206"/>
      <c r="IM84" s="360"/>
      <c r="IN84" s="206"/>
      <c r="IO84" s="360"/>
      <c r="IP84" s="312"/>
      <c r="IQ84" s="312"/>
      <c r="IR84" s="312"/>
      <c r="IS84" s="312"/>
      <c r="IT84" s="289"/>
      <c r="IU84" s="289"/>
      <c r="IV84" s="289"/>
      <c r="IW84" s="289"/>
      <c r="IX84" s="289"/>
      <c r="IY84" s="289"/>
      <c r="IZ84" s="360"/>
      <c r="JA84" s="359"/>
      <c r="JB84" s="312"/>
      <c r="JC84" s="359"/>
      <c r="JD84" s="359"/>
      <c r="JE84" s="312"/>
    </row>
    <row r="85" spans="1:265" ht="24.95" customHeight="1">
      <c r="A85" s="269" t="s">
        <v>478</v>
      </c>
      <c r="B85" s="56" t="s">
        <v>34</v>
      </c>
      <c r="C85" s="56" t="s">
        <v>118</v>
      </c>
      <c r="D85" s="56">
        <v>2018</v>
      </c>
      <c r="E85" s="56" t="s">
        <v>662</v>
      </c>
      <c r="F85" s="56" t="s">
        <v>419</v>
      </c>
      <c r="G85" s="56"/>
      <c r="H85" s="58"/>
      <c r="I85" s="56"/>
      <c r="J85" s="56" t="s">
        <v>479</v>
      </c>
      <c r="K85" s="275" t="s">
        <v>685</v>
      </c>
      <c r="L85" s="178"/>
      <c r="M85" s="179"/>
      <c r="N85" s="180"/>
      <c r="O85" s="219"/>
      <c r="P85" s="219">
        <v>309010</v>
      </c>
      <c r="Q85" s="219"/>
      <c r="R85" s="219">
        <f>P85/AD85</f>
        <v>9088.5294117647063</v>
      </c>
      <c r="S85" s="219" t="e">
        <f>P85/O85</f>
        <v>#DIV/0!</v>
      </c>
      <c r="T85" s="225" t="e">
        <f>Q85/O85</f>
        <v>#DIV/0!</v>
      </c>
      <c r="U85" s="225" t="e">
        <f>Q85/AJ85</f>
        <v>#DIV/0!</v>
      </c>
      <c r="V85" s="225">
        <f t="shared" si="200"/>
        <v>0</v>
      </c>
      <c r="W85" s="219">
        <f t="shared" si="201"/>
        <v>0</v>
      </c>
      <c r="X85" s="220"/>
      <c r="Y85" s="221" t="e">
        <f>AJ85/O85</f>
        <v>#DIV/0!</v>
      </c>
      <c r="Z85" s="220"/>
      <c r="AA85" s="220"/>
      <c r="AB85" s="221"/>
      <c r="AC85" s="56" t="s">
        <v>16</v>
      </c>
      <c r="AD85" s="345">
        <f t="shared" si="202"/>
        <v>34</v>
      </c>
      <c r="AE85" s="67"/>
      <c r="AF85" s="56">
        <v>34</v>
      </c>
      <c r="AG85" s="120"/>
      <c r="AH85" s="120"/>
      <c r="AI85" s="60">
        <v>2635.29</v>
      </c>
      <c r="AJ85" s="95"/>
      <c r="AK85" s="9">
        <f>AJ85/AD85</f>
        <v>0</v>
      </c>
      <c r="AL85" s="81"/>
      <c r="AM85" s="81"/>
      <c r="AN85" s="81"/>
      <c r="AO85" s="81"/>
      <c r="AP85" s="81"/>
      <c r="AQ85" s="60"/>
      <c r="AR85" s="79"/>
      <c r="AS85" s="81"/>
      <c r="AT85" s="60"/>
      <c r="AU85" s="59" t="s">
        <v>621</v>
      </c>
      <c r="AV85" s="56"/>
      <c r="AW85" s="253" t="s">
        <v>624</v>
      </c>
      <c r="AX85" s="196"/>
      <c r="AY85" s="115"/>
      <c r="AZ85" s="115"/>
      <c r="BA85" s="100"/>
      <c r="BB85" s="216"/>
      <c r="BC85" s="102"/>
      <c r="BD85" s="102"/>
      <c r="BE85" s="216"/>
      <c r="BF85" s="102"/>
      <c r="BG85" s="172"/>
      <c r="BH85" s="215"/>
      <c r="BI85" s="172"/>
      <c r="BJ85" s="172"/>
      <c r="BK85" s="103"/>
      <c r="BL85" s="200">
        <f>DATE(YEAR(BK85),MONTH(BK85)+24,DAY(BK85))</f>
        <v>731</v>
      </c>
      <c r="BM85" s="200">
        <f>DATE(YEAR(BK85),MONTH(BK85)+36,DAY(BK85))</f>
        <v>1096</v>
      </c>
      <c r="BN85" s="200"/>
      <c r="BO85" s="172"/>
      <c r="BP85" s="177"/>
      <c r="BQ85" s="103"/>
      <c r="BR85" s="104"/>
      <c r="BS85" s="104"/>
      <c r="BT85" s="104"/>
      <c r="BU85" s="170"/>
      <c r="BV85" s="268"/>
      <c r="BW85" s="268"/>
      <c r="BX85" s="169"/>
      <c r="BY85" s="268"/>
      <c r="BZ85" s="268"/>
      <c r="CA85" s="268"/>
      <c r="CB85" s="268" t="s">
        <v>177</v>
      </c>
      <c r="CC85" s="682"/>
      <c r="CD85" s="509"/>
      <c r="CE85" s="384">
        <v>43455</v>
      </c>
      <c r="CF85" s="377"/>
      <c r="CG85" s="494">
        <f t="shared" si="203"/>
        <v>1448.5</v>
      </c>
      <c r="CH85" s="262">
        <v>16</v>
      </c>
      <c r="CI85" s="262">
        <f t="shared" si="204"/>
        <v>17</v>
      </c>
      <c r="CJ85" s="257">
        <f t="shared" si="205"/>
        <v>16</v>
      </c>
      <c r="CK85" s="257">
        <f t="shared" si="206"/>
        <v>17</v>
      </c>
      <c r="CL85" s="257">
        <f t="shared" si="207"/>
        <v>0</v>
      </c>
      <c r="CM85" s="257">
        <f t="shared" si="208"/>
        <v>0</v>
      </c>
      <c r="CN85" s="263"/>
      <c r="CO85" s="263">
        <f t="shared" si="209"/>
        <v>0</v>
      </c>
      <c r="CP85" s="258"/>
      <c r="CQ85" s="699">
        <f t="shared" si="210"/>
        <v>43942</v>
      </c>
      <c r="CR85" s="391">
        <f t="shared" si="211"/>
        <v>43942</v>
      </c>
      <c r="CS85" s="388">
        <f>DATE(YEAR(CA85)+2,MONTH(CA85),DAY(CA85))</f>
        <v>731</v>
      </c>
      <c r="CT85" s="258"/>
      <c r="CU85" s="258"/>
      <c r="CV85" s="650">
        <f t="shared" si="212"/>
        <v>43972</v>
      </c>
      <c r="CW85" s="506">
        <f>CV85</f>
        <v>43972</v>
      </c>
      <c r="CX85" s="654"/>
      <c r="CY85" s="123"/>
      <c r="CZ85" s="127"/>
      <c r="DA85" s="127"/>
      <c r="DB85" s="127"/>
      <c r="DC85" s="127"/>
      <c r="DD85" s="127"/>
      <c r="DE85" s="56"/>
      <c r="DF85" s="56"/>
      <c r="DG85" s="56"/>
      <c r="DH85" s="56"/>
      <c r="DI85" s="56"/>
      <c r="DJ85" s="56"/>
      <c r="DK85" s="56"/>
      <c r="DL85" s="56"/>
      <c r="DM85" s="56"/>
      <c r="DN85" s="56"/>
      <c r="DO85" s="56"/>
      <c r="DP85" s="56"/>
      <c r="DQ85" s="56"/>
      <c r="DR85" s="56"/>
      <c r="DS85" s="610"/>
      <c r="DT85" s="613"/>
      <c r="DU85" s="613"/>
      <c r="DV85" s="615" t="str">
        <f t="shared" si="213"/>
        <v>0</v>
      </c>
      <c r="DW85" s="613"/>
      <c r="DX85" s="613"/>
      <c r="DY85" s="615" t="str">
        <f t="shared" si="214"/>
        <v>0</v>
      </c>
      <c r="DZ85" s="613"/>
      <c r="EA85" s="613"/>
      <c r="EB85" s="615" t="str">
        <f t="shared" si="215"/>
        <v>0</v>
      </c>
      <c r="EC85" s="613"/>
      <c r="ED85" s="613"/>
      <c r="EE85" s="615" t="str">
        <f t="shared" si="216"/>
        <v>0</v>
      </c>
      <c r="EF85" s="616"/>
      <c r="EG85" s="617"/>
      <c r="EH85" s="615" t="str">
        <f t="shared" si="217"/>
        <v>0</v>
      </c>
      <c r="EI85" s="618"/>
      <c r="EJ85" s="594"/>
      <c r="EK85" s="595"/>
      <c r="EL85" s="596" t="str">
        <f t="shared" si="218"/>
        <v>0</v>
      </c>
      <c r="EM85" s="594"/>
      <c r="EN85" s="595"/>
      <c r="EO85" s="596" t="str">
        <f t="shared" si="219"/>
        <v>0</v>
      </c>
      <c r="EP85" s="594"/>
      <c r="EQ85" s="595"/>
      <c r="ER85" s="596" t="str">
        <f t="shared" si="220"/>
        <v>0</v>
      </c>
      <c r="ES85" s="594"/>
      <c r="ET85" s="622"/>
      <c r="EU85" s="597" t="str">
        <f t="shared" si="221"/>
        <v>0</v>
      </c>
      <c r="EV85" s="598"/>
      <c r="EW85" s="599"/>
      <c r="EX85" s="596" t="str">
        <f t="shared" si="222"/>
        <v>0</v>
      </c>
      <c r="EY85" s="601"/>
      <c r="EZ85" s="600"/>
      <c r="FA85" s="596" t="str">
        <f t="shared" si="223"/>
        <v>0</v>
      </c>
      <c r="FB85" s="602"/>
      <c r="FC85" s="602"/>
      <c r="FD85" s="596" t="str">
        <f t="shared" si="224"/>
        <v>0</v>
      </c>
      <c r="FE85" s="602"/>
      <c r="FF85" s="602"/>
      <c r="FG85" s="596" t="str">
        <f t="shared" si="225"/>
        <v>0</v>
      </c>
      <c r="FH85" s="600"/>
      <c r="FI85" s="600"/>
      <c r="FJ85" s="596" t="str">
        <f t="shared" si="226"/>
        <v>0</v>
      </c>
      <c r="FK85" s="602"/>
      <c r="FL85" s="602"/>
      <c r="FM85" s="602"/>
      <c r="FN85" s="602"/>
      <c r="FO85" s="600">
        <f t="shared" si="227"/>
        <v>43942</v>
      </c>
      <c r="FP85" s="598">
        <f t="shared" si="228"/>
        <v>0</v>
      </c>
      <c r="FQ85" s="602"/>
      <c r="FR85" s="600">
        <f t="shared" si="229"/>
        <v>43972</v>
      </c>
      <c r="FS85" s="627"/>
      <c r="FT85" s="627"/>
      <c r="FU85" s="627"/>
      <c r="FV85" s="627"/>
      <c r="FW85" s="628">
        <f t="shared" si="230"/>
        <v>0</v>
      </c>
      <c r="FX85" s="628">
        <f t="shared" si="231"/>
        <v>1465.7333333333333</v>
      </c>
      <c r="FY85" s="624"/>
      <c r="FZ85" s="641"/>
      <c r="GA85" s="641"/>
      <c r="GB85" s="624"/>
      <c r="GC85" s="118"/>
      <c r="GD85" s="118"/>
      <c r="GE85" s="96">
        <f t="shared" si="189"/>
        <v>5275081.05</v>
      </c>
      <c r="GF85" s="70">
        <f t="shared" si="232"/>
        <v>27272.05</v>
      </c>
      <c r="GG85" s="97">
        <f t="shared" si="233"/>
        <v>-5247809</v>
      </c>
      <c r="GH85" s="52">
        <f t="shared" si="234"/>
        <v>2001.7079903919491</v>
      </c>
      <c r="GI85" s="52">
        <f t="shared" si="244"/>
        <v>155149.44264705881</v>
      </c>
      <c r="GJ85" s="96"/>
      <c r="GK85" s="70"/>
      <c r="GL85" s="97">
        <f t="shared" si="235"/>
        <v>0</v>
      </c>
      <c r="GM85" s="138">
        <f t="shared" si="236"/>
        <v>0</v>
      </c>
      <c r="GN85" s="139">
        <v>0.4</v>
      </c>
      <c r="GO85" s="96">
        <v>1530341</v>
      </c>
      <c r="GP85" s="70"/>
      <c r="GQ85" s="52">
        <f t="shared" si="245"/>
        <v>45010.029411764706</v>
      </c>
      <c r="GR85" s="98"/>
      <c r="GS85" s="96">
        <v>3003468</v>
      </c>
      <c r="GT85" s="70">
        <f t="shared" si="243"/>
        <v>0</v>
      </c>
      <c r="GU85" s="90"/>
      <c r="GV85" s="90"/>
      <c r="GW85" s="98">
        <f t="shared" si="237"/>
        <v>-3003468</v>
      </c>
      <c r="GX85" s="52">
        <f t="shared" si="246"/>
        <v>88337.294117647063</v>
      </c>
      <c r="GY85" s="70"/>
      <c r="GZ85" s="307">
        <v>714000</v>
      </c>
      <c r="HA85" s="70"/>
      <c r="HB85" s="70"/>
      <c r="HC85" s="41">
        <f t="shared" si="238"/>
        <v>0.13535337054205074</v>
      </c>
      <c r="HD85" s="96"/>
      <c r="HE85" s="70">
        <v>27272.05</v>
      </c>
      <c r="HF85" s="92">
        <f t="shared" si="239"/>
        <v>-714000</v>
      </c>
      <c r="HG85" s="52">
        <f t="shared" si="247"/>
        <v>21000</v>
      </c>
      <c r="HH85" s="84">
        <f t="shared" si="248"/>
        <v>66010.029411764699</v>
      </c>
      <c r="HI85" s="92">
        <f t="shared" si="249"/>
        <v>-21000</v>
      </c>
      <c r="HJ85" s="93">
        <v>6.31</v>
      </c>
      <c r="HK85" s="93"/>
      <c r="HL85" s="94"/>
      <c r="HM85" s="94"/>
      <c r="HN85" s="52">
        <f t="shared" si="250"/>
        <v>66010.029411764699</v>
      </c>
      <c r="HO85" s="94"/>
      <c r="HP85" s="52">
        <f t="shared" si="251"/>
        <v>0</v>
      </c>
      <c r="HQ85" s="53">
        <f t="shared" si="240"/>
        <v>0.42546095097439313</v>
      </c>
      <c r="HR85" s="94"/>
      <c r="HS85" s="94"/>
      <c r="HT85" s="70"/>
      <c r="HU85" s="42">
        <f t="shared" si="241"/>
        <v>5275081.05</v>
      </c>
      <c r="HV85" s="245"/>
      <c r="HW85" s="245">
        <f t="shared" si="242"/>
        <v>0</v>
      </c>
      <c r="HX85" s="119"/>
      <c r="HY85" s="342"/>
      <c r="HZ85" s="342"/>
      <c r="IA85" s="255"/>
      <c r="IB85" s="255"/>
      <c r="IC85" s="360"/>
      <c r="ID85" s="252"/>
      <c r="IE85" s="361"/>
      <c r="IF85" s="252"/>
      <c r="IG85" s="361"/>
      <c r="IH85" s="312"/>
      <c r="II85" s="362"/>
      <c r="IJ85" s="358"/>
      <c r="IK85" s="358"/>
      <c r="IL85" s="206"/>
      <c r="IM85" s="360"/>
      <c r="IN85" s="206"/>
      <c r="IO85" s="360"/>
      <c r="IP85" s="312"/>
      <c r="IQ85" s="312"/>
      <c r="IR85" s="312"/>
      <c r="IS85" s="312"/>
      <c r="IT85" s="289"/>
      <c r="IU85" s="289"/>
      <c r="IV85" s="289"/>
      <c r="IW85" s="289"/>
      <c r="IX85" s="289"/>
      <c r="IY85" s="289"/>
      <c r="IZ85" s="360"/>
      <c r="JA85" s="359"/>
      <c r="JB85" s="312"/>
      <c r="JC85" s="359"/>
      <c r="JD85" s="359"/>
      <c r="JE85" s="312"/>
    </row>
    <row r="86" spans="1:265" ht="24.95" customHeight="1">
      <c r="A86" s="642" t="s">
        <v>742</v>
      </c>
      <c r="B86" s="56" t="s">
        <v>167</v>
      </c>
      <c r="C86" s="56" t="s">
        <v>119</v>
      </c>
      <c r="D86" s="56">
        <v>2018</v>
      </c>
      <c r="E86" s="56"/>
      <c r="F86" s="56" t="s">
        <v>424</v>
      </c>
      <c r="G86" s="56" t="s">
        <v>297</v>
      </c>
      <c r="H86" s="56" t="s">
        <v>183</v>
      </c>
      <c r="I86" s="56"/>
      <c r="J86" s="56" t="s">
        <v>516</v>
      </c>
      <c r="K86" s="275"/>
      <c r="L86" s="178"/>
      <c r="M86" s="179"/>
      <c r="N86" s="180"/>
      <c r="O86" s="219"/>
      <c r="P86" s="219"/>
      <c r="Q86" s="219"/>
      <c r="R86" s="219">
        <f>P86/AD86</f>
        <v>0</v>
      </c>
      <c r="S86" s="219" t="e">
        <f>P86/O86</f>
        <v>#DIV/0!</v>
      </c>
      <c r="T86" s="225" t="e">
        <f>Q86/O86</f>
        <v>#DIV/0!</v>
      </c>
      <c r="U86" s="225" t="e">
        <f>Q86/AJ86</f>
        <v>#DIV/0!</v>
      </c>
      <c r="V86" s="225">
        <f t="shared" si="200"/>
        <v>0</v>
      </c>
      <c r="W86" s="219">
        <f t="shared" si="201"/>
        <v>0</v>
      </c>
      <c r="X86" s="220"/>
      <c r="Y86" s="221" t="e">
        <f>AJ86/O86</f>
        <v>#DIV/0!</v>
      </c>
      <c r="Z86" s="220"/>
      <c r="AA86" s="220"/>
      <c r="AB86" s="221"/>
      <c r="AC86" s="56" t="s">
        <v>16</v>
      </c>
      <c r="AD86" s="345">
        <f t="shared" si="202"/>
        <v>36</v>
      </c>
      <c r="AE86" s="56">
        <v>36</v>
      </c>
      <c r="AF86" s="67"/>
      <c r="AG86" s="67"/>
      <c r="AH86" s="67"/>
      <c r="AI86" s="60">
        <v>2856.92</v>
      </c>
      <c r="AJ86" s="95"/>
      <c r="AK86" s="9">
        <f>AJ86/AD86</f>
        <v>0</v>
      </c>
      <c r="AL86" s="81"/>
      <c r="AM86" s="81"/>
      <c r="AN86" s="81"/>
      <c r="AO86" s="81"/>
      <c r="AP86" s="81"/>
      <c r="AQ86" s="60"/>
      <c r="AR86" s="79"/>
      <c r="AS86" s="81"/>
      <c r="AT86" s="60"/>
      <c r="AU86" s="56"/>
      <c r="AV86" s="56"/>
      <c r="AW86" s="252">
        <v>42691</v>
      </c>
      <c r="AX86" s="56"/>
      <c r="AY86" s="115"/>
      <c r="AZ86" s="115"/>
      <c r="BA86" s="100"/>
      <c r="BB86" s="216"/>
      <c r="BC86" s="102"/>
      <c r="BD86" s="102"/>
      <c r="BE86" s="216"/>
      <c r="BF86" s="102"/>
      <c r="BG86" s="172"/>
      <c r="BH86" s="215"/>
      <c r="BI86" s="172"/>
      <c r="BJ86" s="172"/>
      <c r="BK86" s="103"/>
      <c r="BL86" s="200">
        <f>DATE(YEAR(BK86),MONTH(BK86)+24,DAY(BK86))</f>
        <v>731</v>
      </c>
      <c r="BM86" s="200">
        <f>DATE(YEAR(BK86),MONTH(BK86)+36,DAY(BK86))</f>
        <v>1096</v>
      </c>
      <c r="BN86" s="200"/>
      <c r="BO86" s="172"/>
      <c r="BP86" s="177"/>
      <c r="BQ86" s="103"/>
      <c r="BR86" s="104"/>
      <c r="BS86" s="104"/>
      <c r="BT86" s="104"/>
      <c r="BU86" s="170"/>
      <c r="BV86" s="268"/>
      <c r="BW86" s="268"/>
      <c r="BX86" s="169"/>
      <c r="BY86" s="268"/>
      <c r="BZ86" s="268"/>
      <c r="CA86" s="268"/>
      <c r="CB86" s="268"/>
      <c r="CC86" s="681">
        <f>(CW86-CB86)/30</f>
        <v>1468.6</v>
      </c>
      <c r="CD86" s="509"/>
      <c r="CE86" s="384">
        <v>43539</v>
      </c>
      <c r="CF86" s="377"/>
      <c r="CG86" s="494">
        <f t="shared" si="203"/>
        <v>1451.3</v>
      </c>
      <c r="CH86" s="262">
        <v>16</v>
      </c>
      <c r="CI86" s="262">
        <f t="shared" si="204"/>
        <v>17</v>
      </c>
      <c r="CJ86" s="257">
        <f t="shared" si="205"/>
        <v>16</v>
      </c>
      <c r="CK86" s="257">
        <f t="shared" si="206"/>
        <v>17</v>
      </c>
      <c r="CL86" s="257">
        <f t="shared" si="207"/>
        <v>0</v>
      </c>
      <c r="CM86" s="257">
        <f t="shared" si="208"/>
        <v>0</v>
      </c>
      <c r="CN86" s="263"/>
      <c r="CO86" s="263">
        <f t="shared" si="209"/>
        <v>0</v>
      </c>
      <c r="CP86" s="258"/>
      <c r="CQ86" s="699">
        <f t="shared" si="210"/>
        <v>44027</v>
      </c>
      <c r="CR86" s="391">
        <f t="shared" si="211"/>
        <v>44027</v>
      </c>
      <c r="CS86" s="388">
        <f>DATE(YEAR(CA86)+2,MONTH(CA86),DAY(CA86))</f>
        <v>731</v>
      </c>
      <c r="CT86" s="258"/>
      <c r="CU86" s="258"/>
      <c r="CV86" s="650">
        <f t="shared" si="212"/>
        <v>44058</v>
      </c>
      <c r="CW86" s="506">
        <f>CV86</f>
        <v>44058</v>
      </c>
      <c r="CX86" s="654"/>
      <c r="CY86" s="123"/>
      <c r="CZ86" s="127"/>
      <c r="DA86" s="127"/>
      <c r="DB86" s="127"/>
      <c r="DC86" s="127"/>
      <c r="DD86" s="127"/>
      <c r="DE86" s="56"/>
      <c r="DF86" s="56"/>
      <c r="DG86" s="56"/>
      <c r="DH86" s="56"/>
      <c r="DI86" s="56"/>
      <c r="DJ86" s="56"/>
      <c r="DK86" s="56"/>
      <c r="DL86" s="56"/>
      <c r="DM86" s="56"/>
      <c r="DN86" s="56"/>
      <c r="DO86" s="56"/>
      <c r="DP86" s="56"/>
      <c r="DQ86" s="56"/>
      <c r="DR86" s="56"/>
      <c r="DS86" s="610"/>
      <c r="DT86" s="613"/>
      <c r="DU86" s="613"/>
      <c r="DV86" s="615" t="str">
        <f t="shared" si="213"/>
        <v>0</v>
      </c>
      <c r="DW86" s="613">
        <v>43141</v>
      </c>
      <c r="DX86" s="613">
        <f ca="1">IF(DW86&lt;TODAY(),TODAY(),DW86)</f>
        <v>43163</v>
      </c>
      <c r="DY86" s="615">
        <f t="shared" ca="1" si="214"/>
        <v>22</v>
      </c>
      <c r="DZ86" s="613"/>
      <c r="EA86" s="613">
        <f ca="1">IF(DZ86&lt;TODAY(),TODAY(),DZ86)</f>
        <v>43163</v>
      </c>
      <c r="EB86" s="615" t="str">
        <f t="shared" ca="1" si="215"/>
        <v>0</v>
      </c>
      <c r="EC86" s="613"/>
      <c r="ED86" s="613">
        <f ca="1">IF(EC86&lt;TODAY(),TODAY(),EC86)</f>
        <v>43163</v>
      </c>
      <c r="EE86" s="615" t="str">
        <f t="shared" ca="1" si="216"/>
        <v>0</v>
      </c>
      <c r="EF86" s="613"/>
      <c r="EG86" s="613">
        <f ca="1">IF(EF86&lt;TODAY(),TODAY(),EF86)</f>
        <v>43163</v>
      </c>
      <c r="EH86" s="615" t="str">
        <f t="shared" ca="1" si="217"/>
        <v>0</v>
      </c>
      <c r="EI86" s="618"/>
      <c r="EJ86" s="594">
        <v>43525</v>
      </c>
      <c r="EK86" s="600">
        <f ca="1">IF(EJ86&lt;TODAY(),TODAY(),EJ86)</f>
        <v>43525</v>
      </c>
      <c r="EL86" s="596">
        <f t="shared" ca="1" si="218"/>
        <v>0</v>
      </c>
      <c r="EM86" s="594">
        <v>43570</v>
      </c>
      <c r="EN86" s="600">
        <f ca="1">IF(EM86&lt;TODAY(),TODAY(),EM86)</f>
        <v>43570</v>
      </c>
      <c r="EO86" s="596">
        <f t="shared" ca="1" si="219"/>
        <v>0</v>
      </c>
      <c r="EP86" s="594"/>
      <c r="EQ86" s="600">
        <f ca="1">IF(EP86&lt;TODAY(),TODAY(),EP86)</f>
        <v>43163</v>
      </c>
      <c r="ER86" s="596" t="str">
        <f t="shared" ca="1" si="220"/>
        <v>0</v>
      </c>
      <c r="ES86" s="594"/>
      <c r="ET86" s="622">
        <f ca="1">IF(ES86&lt;TODAY(),TODAY(),ES86)</f>
        <v>43163</v>
      </c>
      <c r="EU86" s="597" t="str">
        <f t="shared" ca="1" si="221"/>
        <v>0</v>
      </c>
      <c r="EV86" s="598"/>
      <c r="EW86" s="600">
        <f ca="1">IF(EV86&lt;TODAY(),TODAY(),EV86)</f>
        <v>43163</v>
      </c>
      <c r="EX86" s="596" t="str">
        <f t="shared" ca="1" si="222"/>
        <v>0</v>
      </c>
      <c r="EY86" s="600"/>
      <c r="EZ86" s="600">
        <f ca="1">IF(EY86&lt;TODAY(),TODAY(),EY86)</f>
        <v>43163</v>
      </c>
      <c r="FA86" s="596" t="str">
        <f t="shared" ca="1" si="223"/>
        <v>0</v>
      </c>
      <c r="FB86" s="600"/>
      <c r="FC86" s="600">
        <f ca="1">IF(FB86&lt;TODAY(),TODAY(),FB86)</f>
        <v>43163</v>
      </c>
      <c r="FD86" s="596" t="str">
        <f t="shared" ca="1" si="224"/>
        <v>0</v>
      </c>
      <c r="FE86" s="600"/>
      <c r="FF86" s="600">
        <f ca="1">IF(FE86&lt;TODAY(),TODAY(),FE86)</f>
        <v>43163</v>
      </c>
      <c r="FG86" s="596" t="str">
        <f t="shared" ca="1" si="225"/>
        <v>0</v>
      </c>
      <c r="FH86" s="600"/>
      <c r="FI86" s="600">
        <f ca="1">IF(FH86&lt;TODAY(),TODAY(),FH86)</f>
        <v>43163</v>
      </c>
      <c r="FJ86" s="596" t="str">
        <f t="shared" ca="1" si="226"/>
        <v>0</v>
      </c>
      <c r="FK86" s="600"/>
      <c r="FL86" s="600"/>
      <c r="FM86" s="600"/>
      <c r="FN86" s="600">
        <v>44055</v>
      </c>
      <c r="FO86" s="600">
        <f t="shared" si="227"/>
        <v>44027</v>
      </c>
      <c r="FP86" s="598">
        <f t="shared" ca="1" si="228"/>
        <v>16.166666666666668</v>
      </c>
      <c r="FQ86" s="600">
        <v>44085</v>
      </c>
      <c r="FR86" s="600">
        <f t="shared" si="229"/>
        <v>44058</v>
      </c>
      <c r="FS86" s="627">
        <v>0</v>
      </c>
      <c r="FT86" s="627">
        <v>0</v>
      </c>
      <c r="FU86" s="627"/>
      <c r="FV86" s="627"/>
      <c r="FW86" s="628">
        <f t="shared" ca="1" si="230"/>
        <v>0.73333333333333328</v>
      </c>
      <c r="FX86" s="628">
        <f t="shared" si="231"/>
        <v>-0.9</v>
      </c>
      <c r="FY86" s="624"/>
      <c r="FZ86" s="641"/>
      <c r="GA86" s="624" t="s">
        <v>842</v>
      </c>
      <c r="GB86" s="624"/>
      <c r="GC86" s="118"/>
      <c r="GD86" s="118"/>
      <c r="GE86" s="96">
        <f t="shared" si="189"/>
        <v>6002331</v>
      </c>
      <c r="GF86" s="70">
        <f t="shared" si="232"/>
        <v>3563771</v>
      </c>
      <c r="GG86" s="97">
        <f t="shared" si="233"/>
        <v>-2438560</v>
      </c>
      <c r="GH86" s="52">
        <f t="shared" si="234"/>
        <v>2100.9797264186604</v>
      </c>
      <c r="GI86" s="52">
        <f t="shared" si="244"/>
        <v>166731.41666666666</v>
      </c>
      <c r="GJ86" s="96"/>
      <c r="GK86" s="70"/>
      <c r="GL86" s="97">
        <f t="shared" si="235"/>
        <v>0</v>
      </c>
      <c r="GM86" s="138">
        <f t="shared" si="236"/>
        <v>0</v>
      </c>
      <c r="GN86" s="139">
        <v>0.4</v>
      </c>
      <c r="GO86" s="96">
        <v>1790560</v>
      </c>
      <c r="GP86" s="70"/>
      <c r="GQ86" s="52">
        <f t="shared" si="245"/>
        <v>49737.777777777781</v>
      </c>
      <c r="GR86" s="98"/>
      <c r="GS86" s="96">
        <f>GT86</f>
        <v>3563771</v>
      </c>
      <c r="GT86" s="70">
        <f t="shared" si="243"/>
        <v>3563771</v>
      </c>
      <c r="GU86" s="90">
        <v>661416</v>
      </c>
      <c r="GV86" s="90">
        <v>2902355</v>
      </c>
      <c r="GW86" s="98">
        <f t="shared" si="237"/>
        <v>0</v>
      </c>
      <c r="GX86" s="52">
        <f t="shared" si="246"/>
        <v>98993.638888888891</v>
      </c>
      <c r="GY86" s="70"/>
      <c r="GZ86" s="96">
        <v>648000</v>
      </c>
      <c r="HA86" s="70"/>
      <c r="HB86" s="70"/>
      <c r="HC86" s="91">
        <f t="shared" si="238"/>
        <v>0.10795805829435265</v>
      </c>
      <c r="HD86" s="96"/>
      <c r="HE86" s="70"/>
      <c r="HF86" s="92">
        <f t="shared" si="239"/>
        <v>-648000</v>
      </c>
      <c r="HG86" s="52">
        <f t="shared" si="247"/>
        <v>18000</v>
      </c>
      <c r="HH86" s="84">
        <f t="shared" si="248"/>
        <v>67737.777777777781</v>
      </c>
      <c r="HI86" s="92">
        <f t="shared" si="249"/>
        <v>-18000</v>
      </c>
      <c r="HJ86" s="93">
        <v>6.31</v>
      </c>
      <c r="HK86" s="93"/>
      <c r="HL86" s="94"/>
      <c r="HM86" s="94"/>
      <c r="HN86" s="52">
        <f t="shared" si="250"/>
        <v>67737.777777777781</v>
      </c>
      <c r="HO86" s="94"/>
      <c r="HP86" s="52">
        <f t="shared" si="251"/>
        <v>0</v>
      </c>
      <c r="HQ86" s="53">
        <f t="shared" si="240"/>
        <v>0.40626883122573548</v>
      </c>
      <c r="HR86" s="94"/>
      <c r="HS86" s="94"/>
      <c r="HT86" s="70"/>
      <c r="HU86" s="42">
        <f t="shared" si="241"/>
        <v>6002331</v>
      </c>
      <c r="HV86" s="296"/>
      <c r="HW86" s="296">
        <f t="shared" si="242"/>
        <v>0</v>
      </c>
      <c r="HX86" s="252"/>
      <c r="HY86" s="360"/>
      <c r="HZ86" s="360"/>
      <c r="IA86" s="308"/>
      <c r="IB86" s="308"/>
      <c r="IC86" s="521"/>
      <c r="ID86" s="308"/>
      <c r="IE86" s="293"/>
      <c r="IF86" s="308"/>
      <c r="IG86" s="523"/>
      <c r="IH86" s="298"/>
      <c r="II86" s="303"/>
      <c r="IJ86" s="301"/>
      <c r="IK86" s="301"/>
      <c r="IL86" s="295"/>
      <c r="IM86" s="300"/>
      <c r="IN86" s="295"/>
      <c r="IO86" s="300"/>
      <c r="IP86" s="326"/>
      <c r="IQ86" s="326"/>
      <c r="IR86" s="326"/>
      <c r="IS86" s="326"/>
      <c r="IT86" s="289"/>
      <c r="IU86" s="289"/>
      <c r="IV86" s="289"/>
      <c r="IW86" s="289"/>
      <c r="IX86" s="289"/>
      <c r="IY86" s="289"/>
      <c r="IZ86" s="300"/>
      <c r="JA86" s="123"/>
      <c r="JB86" s="298"/>
      <c r="JC86" s="123"/>
      <c r="JD86" s="123"/>
      <c r="JE86" s="298"/>
    </row>
    <row r="87" spans="1:265" ht="50.25" customHeight="1">
      <c r="A87" s="318" t="s">
        <v>515</v>
      </c>
      <c r="B87" s="56" t="s">
        <v>28</v>
      </c>
      <c r="C87" s="56" t="s">
        <v>117</v>
      </c>
      <c r="D87" s="56">
        <v>2019</v>
      </c>
      <c r="E87" s="56"/>
      <c r="F87" s="56" t="s">
        <v>488</v>
      </c>
      <c r="G87" s="56"/>
      <c r="H87" s="56" t="s">
        <v>455</v>
      </c>
      <c r="I87" s="56"/>
      <c r="J87" s="56"/>
      <c r="K87" s="275" t="s">
        <v>547</v>
      </c>
      <c r="L87" s="178" t="s">
        <v>64</v>
      </c>
      <c r="M87" s="179" t="s">
        <v>546</v>
      </c>
      <c r="N87" s="180">
        <v>37125</v>
      </c>
      <c r="O87" s="245"/>
      <c r="P87" s="245"/>
      <c r="Q87" s="245"/>
      <c r="R87" s="245"/>
      <c r="S87" s="245"/>
      <c r="T87" s="719"/>
      <c r="U87" s="719"/>
      <c r="V87" s="719"/>
      <c r="W87" s="245"/>
      <c r="X87" s="220"/>
      <c r="Y87" s="221"/>
      <c r="Z87" s="220"/>
      <c r="AA87" s="220"/>
      <c r="AB87" s="221"/>
      <c r="AC87" s="56" t="s">
        <v>487</v>
      </c>
      <c r="AD87" s="345">
        <f t="shared" si="202"/>
        <v>18</v>
      </c>
      <c r="AE87" s="67"/>
      <c r="AF87" s="120"/>
      <c r="AG87" s="120"/>
      <c r="AH87" s="205">
        <v>18</v>
      </c>
      <c r="AI87" s="60"/>
      <c r="AJ87" s="95"/>
      <c r="AK87" s="60"/>
      <c r="AL87" s="81"/>
      <c r="AM87" s="81"/>
      <c r="AN87" s="81"/>
      <c r="AO87" s="81"/>
      <c r="AP87" s="81"/>
      <c r="AQ87" s="60"/>
      <c r="AR87" s="79"/>
      <c r="AS87" s="81"/>
      <c r="AT87" s="60"/>
      <c r="AU87" s="56"/>
      <c r="AV87" s="56"/>
      <c r="AW87" s="56"/>
      <c r="AX87" s="56"/>
      <c r="AY87" s="115"/>
      <c r="AZ87" s="115"/>
      <c r="BA87" s="100"/>
      <c r="BB87" s="216"/>
      <c r="BC87" s="102"/>
      <c r="BD87" s="102"/>
      <c r="BE87" s="216"/>
      <c r="BF87" s="102"/>
      <c r="BG87" s="172"/>
      <c r="BH87" s="215"/>
      <c r="BI87" s="172"/>
      <c r="BJ87" s="172"/>
      <c r="BK87" s="103"/>
      <c r="BL87" s="200">
        <f>DATE(YEAR(BK87),MONTH(BK87)+24,DAY(BK87))</f>
        <v>731</v>
      </c>
      <c r="BM87" s="200">
        <f>DATE(YEAR(BK87),MONTH(BK87)+36,DAY(BK87))</f>
        <v>1096</v>
      </c>
      <c r="BN87" s="200"/>
      <c r="BO87" s="172"/>
      <c r="BP87" s="177"/>
      <c r="BQ87" s="103"/>
      <c r="BR87" s="104"/>
      <c r="BS87" s="104"/>
      <c r="BT87" s="104"/>
      <c r="BU87" s="170"/>
      <c r="BV87" s="268"/>
      <c r="BW87" s="268"/>
      <c r="BX87" s="169"/>
      <c r="BY87" s="268"/>
      <c r="BZ87" s="268"/>
      <c r="CA87" s="268"/>
      <c r="CB87" s="450"/>
      <c r="CC87" s="450"/>
      <c r="CD87" s="509"/>
      <c r="CE87" s="384">
        <v>43845</v>
      </c>
      <c r="CF87" s="377"/>
      <c r="CG87" s="494">
        <f t="shared" si="203"/>
        <v>1461.5</v>
      </c>
      <c r="CH87" s="262">
        <v>12</v>
      </c>
      <c r="CI87" s="262">
        <f t="shared" si="204"/>
        <v>13</v>
      </c>
      <c r="CJ87" s="257">
        <f t="shared" si="205"/>
        <v>13</v>
      </c>
      <c r="CK87" s="257">
        <f t="shared" si="206"/>
        <v>15</v>
      </c>
      <c r="CL87" s="257">
        <f t="shared" si="207"/>
        <v>1</v>
      </c>
      <c r="CM87" s="257">
        <f t="shared" si="208"/>
        <v>2</v>
      </c>
      <c r="CN87" s="263"/>
      <c r="CO87" s="263">
        <f t="shared" si="209"/>
        <v>0</v>
      </c>
      <c r="CP87" s="258"/>
      <c r="CQ87" s="699">
        <f t="shared" si="210"/>
        <v>44211</v>
      </c>
      <c r="CR87" s="391">
        <f>DATE(YEAR(CE87),MONTH(CE87)+CH87+1,DAY(CE87))</f>
        <v>44242</v>
      </c>
      <c r="CS87" s="388"/>
      <c r="CT87" s="258"/>
      <c r="CU87" s="258"/>
      <c r="CV87" s="650">
        <f t="shared" si="212"/>
        <v>44270</v>
      </c>
      <c r="CW87" s="506">
        <f>DATE(YEAR(CV87),MONTH(CV87)+1,DAY(CV87))</f>
        <v>44301</v>
      </c>
      <c r="CX87" s="654"/>
      <c r="CY87" s="123"/>
      <c r="CZ87" s="127"/>
      <c r="DA87" s="127"/>
      <c r="DB87" s="127"/>
      <c r="DC87" s="127"/>
      <c r="DD87" s="127"/>
      <c r="DE87" s="56"/>
      <c r="DF87" s="56"/>
      <c r="DG87" s="56"/>
      <c r="DH87" s="56"/>
      <c r="DI87" s="56"/>
      <c r="DJ87" s="56"/>
      <c r="DK87" s="56"/>
      <c r="DL87" s="56"/>
      <c r="DM87" s="56"/>
      <c r="DN87" s="56"/>
      <c r="DO87" s="56"/>
      <c r="DP87" s="56"/>
      <c r="DQ87" s="56"/>
      <c r="DR87" s="56"/>
      <c r="DS87" s="610"/>
      <c r="DT87" s="613"/>
      <c r="DU87" s="613"/>
      <c r="DV87" s="615" t="str">
        <f t="shared" si="213"/>
        <v>0</v>
      </c>
      <c r="DW87" s="613"/>
      <c r="DX87" s="613"/>
      <c r="DY87" s="615" t="str">
        <f t="shared" si="214"/>
        <v>0</v>
      </c>
      <c r="DZ87" s="613"/>
      <c r="EA87" s="613"/>
      <c r="EB87" s="615" t="str">
        <f t="shared" si="215"/>
        <v>0</v>
      </c>
      <c r="EC87" s="613"/>
      <c r="ED87" s="613"/>
      <c r="EE87" s="615" t="str">
        <f t="shared" si="216"/>
        <v>0</v>
      </c>
      <c r="EF87" s="616"/>
      <c r="EG87" s="617"/>
      <c r="EH87" s="615" t="str">
        <f t="shared" si="217"/>
        <v>0</v>
      </c>
      <c r="EI87" s="618"/>
      <c r="EJ87" s="594"/>
      <c r="EK87" s="595"/>
      <c r="EL87" s="596" t="str">
        <f t="shared" si="218"/>
        <v>0</v>
      </c>
      <c r="EM87" s="594"/>
      <c r="EN87" s="595"/>
      <c r="EO87" s="596" t="str">
        <f t="shared" si="219"/>
        <v>0</v>
      </c>
      <c r="EP87" s="594"/>
      <c r="EQ87" s="595"/>
      <c r="ER87" s="596" t="str">
        <f t="shared" si="220"/>
        <v>0</v>
      </c>
      <c r="ES87" s="594"/>
      <c r="ET87" s="622"/>
      <c r="EU87" s="597" t="str">
        <f t="shared" si="221"/>
        <v>0</v>
      </c>
      <c r="EV87" s="598"/>
      <c r="EW87" s="599"/>
      <c r="EX87" s="596" t="str">
        <f t="shared" si="222"/>
        <v>0</v>
      </c>
      <c r="EY87" s="595"/>
      <c r="EZ87" s="600"/>
      <c r="FA87" s="596" t="str">
        <f t="shared" si="223"/>
        <v>0</v>
      </c>
      <c r="FB87" s="602"/>
      <c r="FC87" s="602"/>
      <c r="FD87" s="596" t="str">
        <f t="shared" si="224"/>
        <v>0</v>
      </c>
      <c r="FE87" s="602"/>
      <c r="FF87" s="602"/>
      <c r="FG87" s="596" t="str">
        <f t="shared" si="225"/>
        <v>0</v>
      </c>
      <c r="FH87" s="600"/>
      <c r="FI87" s="600"/>
      <c r="FJ87" s="596" t="str">
        <f t="shared" si="226"/>
        <v>0</v>
      </c>
      <c r="FK87" s="602"/>
      <c r="FL87" s="602"/>
      <c r="FM87" s="602"/>
      <c r="FN87" s="602"/>
      <c r="FO87" s="600">
        <f t="shared" si="227"/>
        <v>44242</v>
      </c>
      <c r="FP87" s="598">
        <f t="shared" si="228"/>
        <v>0</v>
      </c>
      <c r="FQ87" s="602"/>
      <c r="FR87" s="600">
        <f t="shared" si="229"/>
        <v>44301</v>
      </c>
      <c r="FS87" s="627"/>
      <c r="FT87" s="627"/>
      <c r="FU87" s="627"/>
      <c r="FV87" s="627"/>
      <c r="FW87" s="628">
        <f t="shared" si="230"/>
        <v>0</v>
      </c>
      <c r="FX87" s="628">
        <f t="shared" si="231"/>
        <v>1476.7</v>
      </c>
      <c r="FY87" s="624"/>
      <c r="FZ87" s="641"/>
      <c r="GA87" s="624"/>
      <c r="GB87" s="624"/>
      <c r="GC87" s="118"/>
      <c r="GD87" s="118"/>
      <c r="GE87" s="426">
        <f t="shared" si="189"/>
        <v>0</v>
      </c>
      <c r="GF87" s="426">
        <f t="shared" si="232"/>
        <v>0</v>
      </c>
      <c r="GG87" s="426">
        <f t="shared" si="233"/>
        <v>0</v>
      </c>
      <c r="GH87" s="426" t="e">
        <f t="shared" si="234"/>
        <v>#DIV/0!</v>
      </c>
      <c r="GI87" s="426">
        <f t="shared" si="244"/>
        <v>0</v>
      </c>
      <c r="GJ87" s="426"/>
      <c r="GK87" s="426"/>
      <c r="GL87" s="426">
        <f t="shared" si="235"/>
        <v>0</v>
      </c>
      <c r="GM87" s="112" t="e">
        <f t="shared" si="236"/>
        <v>#DIV/0!</v>
      </c>
      <c r="GN87" s="112">
        <v>0.4</v>
      </c>
      <c r="GO87" s="426"/>
      <c r="GP87" s="426"/>
      <c r="GQ87" s="426">
        <f t="shared" si="245"/>
        <v>0</v>
      </c>
      <c r="GR87" s="426"/>
      <c r="GS87" s="426"/>
      <c r="GT87" s="426">
        <f t="shared" si="243"/>
        <v>0</v>
      </c>
      <c r="GU87" s="426"/>
      <c r="GV87" s="426"/>
      <c r="GW87" s="426">
        <f t="shared" si="237"/>
        <v>0</v>
      </c>
      <c r="GX87" s="426">
        <f t="shared" si="246"/>
        <v>0</v>
      </c>
      <c r="GY87" s="426"/>
      <c r="GZ87" s="426"/>
      <c r="HA87" s="426"/>
      <c r="HB87" s="426"/>
      <c r="HC87" s="433" t="e">
        <f t="shared" si="238"/>
        <v>#DIV/0!</v>
      </c>
      <c r="HD87" s="433"/>
      <c r="HE87" s="426"/>
      <c r="HF87" s="426">
        <f t="shared" si="239"/>
        <v>0</v>
      </c>
      <c r="HG87" s="426">
        <f t="shared" si="247"/>
        <v>0</v>
      </c>
      <c r="HH87" s="429">
        <f t="shared" si="248"/>
        <v>0</v>
      </c>
      <c r="HI87" s="426">
        <f t="shared" si="249"/>
        <v>0</v>
      </c>
      <c r="HJ87" s="430">
        <v>6.31</v>
      </c>
      <c r="HK87" s="430"/>
      <c r="HL87" s="426"/>
      <c r="HM87" s="426"/>
      <c r="HN87" s="426">
        <f t="shared" si="250"/>
        <v>0</v>
      </c>
      <c r="HO87" s="426"/>
      <c r="HP87" s="426">
        <f t="shared" si="251"/>
        <v>0</v>
      </c>
      <c r="HQ87" s="112" t="e">
        <f t="shared" si="240"/>
        <v>#DIV/0!</v>
      </c>
      <c r="HR87" s="426"/>
      <c r="HS87" s="426"/>
      <c r="HT87" s="426"/>
      <c r="HU87" s="434">
        <f t="shared" si="241"/>
        <v>0</v>
      </c>
      <c r="HV87" s="296"/>
      <c r="HW87" s="296">
        <f t="shared" si="242"/>
        <v>0</v>
      </c>
      <c r="HX87" s="297"/>
      <c r="HY87" s="300">
        <v>0</v>
      </c>
      <c r="HZ87" s="300"/>
      <c r="IA87" s="272"/>
      <c r="IB87" s="272"/>
      <c r="IC87" s="424">
        <v>0</v>
      </c>
      <c r="ID87" s="281"/>
      <c r="IE87" s="293">
        <v>0</v>
      </c>
      <c r="IF87" s="281"/>
      <c r="IG87" s="523"/>
      <c r="IH87" s="298"/>
      <c r="II87" s="303"/>
      <c r="IJ87" s="301"/>
      <c r="IK87" s="301"/>
      <c r="IL87" s="295"/>
      <c r="IM87" s="296"/>
      <c r="IN87" s="295"/>
      <c r="IO87" s="296"/>
      <c r="IP87" s="326"/>
      <c r="IQ87" s="326"/>
      <c r="IR87" s="326"/>
      <c r="IS87" s="326"/>
      <c r="IT87" s="289"/>
      <c r="IU87" s="289"/>
      <c r="IV87" s="289"/>
      <c r="IW87" s="289"/>
      <c r="IX87" s="289"/>
      <c r="IY87" s="289"/>
      <c r="IZ87" s="300" t="e">
        <f>$IZ$1*HV87</f>
        <v>#VALUE!</v>
      </c>
      <c r="JA87" s="123"/>
      <c r="JB87" s="298"/>
      <c r="JC87" s="123"/>
      <c r="JD87" s="123"/>
      <c r="JE87" s="298"/>
    </row>
    <row r="88" spans="1:265" ht="24.95" customHeight="1">
      <c r="A88" s="318" t="s">
        <v>514</v>
      </c>
      <c r="B88" s="56" t="s">
        <v>28</v>
      </c>
      <c r="C88" s="56" t="s">
        <v>117</v>
      </c>
      <c r="D88" s="56">
        <v>2019</v>
      </c>
      <c r="E88" s="56"/>
      <c r="F88" s="56" t="s">
        <v>488</v>
      </c>
      <c r="G88" s="56"/>
      <c r="H88" s="56" t="s">
        <v>455</v>
      </c>
      <c r="I88" s="56"/>
      <c r="J88" s="56" t="s">
        <v>541</v>
      </c>
      <c r="K88" s="275" t="s">
        <v>542</v>
      </c>
      <c r="L88" s="178" t="s">
        <v>64</v>
      </c>
      <c r="M88" s="179" t="s">
        <v>540</v>
      </c>
      <c r="N88" s="180">
        <v>35396</v>
      </c>
      <c r="O88" s="245"/>
      <c r="P88" s="245"/>
      <c r="Q88" s="245"/>
      <c r="R88" s="245"/>
      <c r="S88" s="245"/>
      <c r="T88" s="719"/>
      <c r="U88" s="719"/>
      <c r="V88" s="719"/>
      <c r="W88" s="245"/>
      <c r="X88" s="220"/>
      <c r="Y88" s="221"/>
      <c r="Z88" s="220"/>
      <c r="AA88" s="220"/>
      <c r="AB88" s="221"/>
      <c r="AC88" s="56" t="s">
        <v>487</v>
      </c>
      <c r="AD88" s="345">
        <f t="shared" si="202"/>
        <v>26</v>
      </c>
      <c r="AE88" s="67"/>
      <c r="AF88" s="120"/>
      <c r="AG88" s="120"/>
      <c r="AH88" s="56">
        <v>26</v>
      </c>
      <c r="AI88" s="60"/>
      <c r="AJ88" s="95"/>
      <c r="AK88" s="60"/>
      <c r="AL88" s="81"/>
      <c r="AM88" s="81"/>
      <c r="AN88" s="81"/>
      <c r="AO88" s="81"/>
      <c r="AP88" s="81"/>
      <c r="AQ88" s="60"/>
      <c r="AR88" s="79"/>
      <c r="AS88" s="81"/>
      <c r="AT88" s="60"/>
      <c r="AU88" s="56"/>
      <c r="AV88" s="56"/>
      <c r="AW88" s="56"/>
      <c r="AX88" s="56"/>
      <c r="AY88" s="115"/>
      <c r="AZ88" s="115"/>
      <c r="BA88" s="100"/>
      <c r="BB88" s="216"/>
      <c r="BC88" s="102"/>
      <c r="BD88" s="102"/>
      <c r="BE88" s="216"/>
      <c r="BF88" s="102"/>
      <c r="BG88" s="172"/>
      <c r="BH88" s="215"/>
      <c r="BI88" s="172"/>
      <c r="BJ88" s="172"/>
      <c r="BK88" s="103"/>
      <c r="BL88" s="200">
        <f>DATE(YEAR(BK88),MONTH(BK88)+24,DAY(BK88))</f>
        <v>731</v>
      </c>
      <c r="BM88" s="200">
        <f>DATE(YEAR(BK88),MONTH(BK88)+36,DAY(BK88))</f>
        <v>1096</v>
      </c>
      <c r="BN88" s="200"/>
      <c r="BO88" s="172"/>
      <c r="BP88" s="177"/>
      <c r="BQ88" s="103"/>
      <c r="BR88" s="104"/>
      <c r="BS88" s="104"/>
      <c r="BT88" s="104"/>
      <c r="BU88" s="170"/>
      <c r="BV88" s="268"/>
      <c r="BW88" s="268"/>
      <c r="BX88" s="169"/>
      <c r="BY88" s="268"/>
      <c r="BZ88" s="268"/>
      <c r="CA88" s="268"/>
      <c r="CB88" s="450"/>
      <c r="CC88" s="450"/>
      <c r="CD88" s="509"/>
      <c r="CE88" s="384">
        <v>43845</v>
      </c>
      <c r="CF88" s="377"/>
      <c r="CG88" s="494">
        <f t="shared" si="203"/>
        <v>1461.5</v>
      </c>
      <c r="CH88" s="262">
        <v>12</v>
      </c>
      <c r="CI88" s="262">
        <f t="shared" si="204"/>
        <v>13</v>
      </c>
      <c r="CJ88" s="257">
        <f t="shared" si="205"/>
        <v>13</v>
      </c>
      <c r="CK88" s="257">
        <f t="shared" si="206"/>
        <v>15</v>
      </c>
      <c r="CL88" s="257">
        <f t="shared" si="207"/>
        <v>1</v>
      </c>
      <c r="CM88" s="257">
        <f t="shared" si="208"/>
        <v>2</v>
      </c>
      <c r="CN88" s="263"/>
      <c r="CO88" s="263">
        <f t="shared" si="209"/>
        <v>0</v>
      </c>
      <c r="CP88" s="258"/>
      <c r="CQ88" s="699">
        <f t="shared" si="210"/>
        <v>44211</v>
      </c>
      <c r="CR88" s="391">
        <f>DATE(YEAR(CE88),MONTH(CE88)+CH88+1,DAY(CE88))</f>
        <v>44242</v>
      </c>
      <c r="CS88" s="388"/>
      <c r="CT88" s="258"/>
      <c r="CU88" s="258"/>
      <c r="CV88" s="650">
        <f t="shared" si="212"/>
        <v>44270</v>
      </c>
      <c r="CW88" s="506">
        <f>DATE(YEAR(CV88),MONTH(CV88)+1,DAY(CV88))</f>
        <v>44301</v>
      </c>
      <c r="CX88" s="654"/>
      <c r="CY88" s="123"/>
      <c r="CZ88" s="127"/>
      <c r="DA88" s="127"/>
      <c r="DB88" s="127"/>
      <c r="DC88" s="127"/>
      <c r="DD88" s="127"/>
      <c r="DE88" s="56"/>
      <c r="DF88" s="56"/>
      <c r="DG88" s="56"/>
      <c r="DH88" s="56"/>
      <c r="DI88" s="56"/>
      <c r="DJ88" s="56"/>
      <c r="DK88" s="56"/>
      <c r="DL88" s="56"/>
      <c r="DM88" s="56"/>
      <c r="DN88" s="56"/>
      <c r="DO88" s="56"/>
      <c r="DP88" s="56"/>
      <c r="DQ88" s="56"/>
      <c r="DR88" s="56"/>
      <c r="DS88" s="610"/>
      <c r="DT88" s="613"/>
      <c r="DU88" s="613"/>
      <c r="DV88" s="615" t="str">
        <f t="shared" si="213"/>
        <v>0</v>
      </c>
      <c r="DW88" s="613"/>
      <c r="DX88" s="613"/>
      <c r="DY88" s="615" t="str">
        <f t="shared" si="214"/>
        <v>0</v>
      </c>
      <c r="DZ88" s="613"/>
      <c r="EA88" s="613"/>
      <c r="EB88" s="615" t="str">
        <f t="shared" si="215"/>
        <v>0</v>
      </c>
      <c r="EC88" s="613"/>
      <c r="ED88" s="613"/>
      <c r="EE88" s="615" t="str">
        <f t="shared" si="216"/>
        <v>0</v>
      </c>
      <c r="EF88" s="616"/>
      <c r="EG88" s="617"/>
      <c r="EH88" s="615" t="str">
        <f t="shared" si="217"/>
        <v>0</v>
      </c>
      <c r="EI88" s="618"/>
      <c r="EJ88" s="594"/>
      <c r="EK88" s="595"/>
      <c r="EL88" s="596" t="str">
        <f t="shared" si="218"/>
        <v>0</v>
      </c>
      <c r="EM88" s="594"/>
      <c r="EN88" s="595"/>
      <c r="EO88" s="596" t="str">
        <f t="shared" si="219"/>
        <v>0</v>
      </c>
      <c r="EP88" s="594"/>
      <c r="EQ88" s="595"/>
      <c r="ER88" s="596" t="str">
        <f t="shared" si="220"/>
        <v>0</v>
      </c>
      <c r="ES88" s="594"/>
      <c r="ET88" s="622"/>
      <c r="EU88" s="597" t="str">
        <f t="shared" si="221"/>
        <v>0</v>
      </c>
      <c r="EV88" s="598"/>
      <c r="EW88" s="599">
        <f ca="1">IF(EV88&lt;TODAY(),TODAY(),EV88)</f>
        <v>43163</v>
      </c>
      <c r="EX88" s="596" t="str">
        <f t="shared" ca="1" si="222"/>
        <v>0</v>
      </c>
      <c r="EY88" s="595"/>
      <c r="EZ88" s="600"/>
      <c r="FA88" s="596" t="str">
        <f t="shared" si="223"/>
        <v>0</v>
      </c>
      <c r="FB88" s="602"/>
      <c r="FC88" s="602"/>
      <c r="FD88" s="596" t="str">
        <f t="shared" si="224"/>
        <v>0</v>
      </c>
      <c r="FE88" s="602"/>
      <c r="FF88" s="602"/>
      <c r="FG88" s="596" t="str">
        <f t="shared" si="225"/>
        <v>0</v>
      </c>
      <c r="FH88" s="600"/>
      <c r="FI88" s="600"/>
      <c r="FJ88" s="596" t="str">
        <f t="shared" si="226"/>
        <v>0</v>
      </c>
      <c r="FK88" s="602"/>
      <c r="FL88" s="602"/>
      <c r="FM88" s="602"/>
      <c r="FN88" s="602"/>
      <c r="FO88" s="600">
        <f t="shared" si="227"/>
        <v>44242</v>
      </c>
      <c r="FP88" s="598">
        <f t="shared" si="228"/>
        <v>0</v>
      </c>
      <c r="FQ88" s="602"/>
      <c r="FR88" s="600">
        <f t="shared" si="229"/>
        <v>44301</v>
      </c>
      <c r="FS88" s="627"/>
      <c r="FT88" s="627"/>
      <c r="FU88" s="627"/>
      <c r="FV88" s="627"/>
      <c r="FW88" s="628">
        <f t="shared" si="230"/>
        <v>0</v>
      </c>
      <c r="FX88" s="628">
        <f t="shared" si="231"/>
        <v>1476.7</v>
      </c>
      <c r="FY88" s="624"/>
      <c r="FZ88" s="641"/>
      <c r="GA88" s="624"/>
      <c r="GB88" s="624"/>
      <c r="GC88" s="118"/>
      <c r="GD88" s="118"/>
      <c r="GE88" s="426">
        <f t="shared" si="189"/>
        <v>0</v>
      </c>
      <c r="GF88" s="426">
        <f t="shared" si="232"/>
        <v>0</v>
      </c>
      <c r="GG88" s="426">
        <f t="shared" si="233"/>
        <v>0</v>
      </c>
      <c r="GH88" s="426" t="e">
        <f t="shared" si="234"/>
        <v>#DIV/0!</v>
      </c>
      <c r="GI88" s="426">
        <f t="shared" si="244"/>
        <v>0</v>
      </c>
      <c r="GJ88" s="426"/>
      <c r="GK88" s="426"/>
      <c r="GL88" s="426">
        <f t="shared" si="235"/>
        <v>0</v>
      </c>
      <c r="GM88" s="112" t="e">
        <f t="shared" si="236"/>
        <v>#DIV/0!</v>
      </c>
      <c r="GN88" s="112">
        <v>0.4</v>
      </c>
      <c r="GO88" s="426"/>
      <c r="GP88" s="426"/>
      <c r="GQ88" s="426">
        <f t="shared" si="245"/>
        <v>0</v>
      </c>
      <c r="GR88" s="426"/>
      <c r="GS88" s="426"/>
      <c r="GT88" s="426">
        <f t="shared" si="243"/>
        <v>0</v>
      </c>
      <c r="GU88" s="426"/>
      <c r="GV88" s="426"/>
      <c r="GW88" s="426">
        <f t="shared" si="237"/>
        <v>0</v>
      </c>
      <c r="GX88" s="426">
        <f t="shared" si="246"/>
        <v>0</v>
      </c>
      <c r="GY88" s="426"/>
      <c r="GZ88" s="426"/>
      <c r="HA88" s="426"/>
      <c r="HB88" s="426"/>
      <c r="HC88" s="433" t="e">
        <f t="shared" si="238"/>
        <v>#DIV/0!</v>
      </c>
      <c r="HD88" s="433"/>
      <c r="HE88" s="426"/>
      <c r="HF88" s="426">
        <f t="shared" si="239"/>
        <v>0</v>
      </c>
      <c r="HG88" s="426">
        <f t="shared" si="247"/>
        <v>0</v>
      </c>
      <c r="HH88" s="429">
        <f t="shared" si="248"/>
        <v>0</v>
      </c>
      <c r="HI88" s="426">
        <f t="shared" si="249"/>
        <v>0</v>
      </c>
      <c r="HJ88" s="430">
        <v>6.31</v>
      </c>
      <c r="HK88" s="430"/>
      <c r="HL88" s="426"/>
      <c r="HM88" s="426"/>
      <c r="HN88" s="426">
        <f t="shared" si="250"/>
        <v>0</v>
      </c>
      <c r="HO88" s="426"/>
      <c r="HP88" s="426">
        <f t="shared" si="251"/>
        <v>0</v>
      </c>
      <c r="HQ88" s="112" t="e">
        <f t="shared" si="240"/>
        <v>#DIV/0!</v>
      </c>
      <c r="HR88" s="426"/>
      <c r="HS88" s="426"/>
      <c r="HT88" s="426"/>
      <c r="HU88" s="434">
        <f t="shared" si="241"/>
        <v>0</v>
      </c>
      <c r="HV88" s="296"/>
      <c r="HW88" s="296">
        <f t="shared" si="242"/>
        <v>0</v>
      </c>
      <c r="HX88" s="297"/>
      <c r="HY88" s="300">
        <v>0</v>
      </c>
      <c r="HZ88" s="300"/>
      <c r="IA88" s="272"/>
      <c r="IB88" s="272"/>
      <c r="IC88" s="424">
        <v>0</v>
      </c>
      <c r="ID88" s="281"/>
      <c r="IE88" s="293">
        <v>0</v>
      </c>
      <c r="IF88" s="281"/>
      <c r="IG88" s="523"/>
      <c r="IH88" s="298"/>
      <c r="II88" s="303"/>
      <c r="IJ88" s="301"/>
      <c r="IK88" s="301"/>
      <c r="IL88" s="295"/>
      <c r="IM88" s="296"/>
      <c r="IN88" s="295"/>
      <c r="IO88" s="296"/>
      <c r="IP88" s="326"/>
      <c r="IQ88" s="326"/>
      <c r="IR88" s="326"/>
      <c r="IS88" s="326"/>
      <c r="IT88" s="289"/>
      <c r="IU88" s="289"/>
      <c r="IV88" s="289"/>
      <c r="IW88" s="289"/>
      <c r="IX88" s="289"/>
      <c r="IY88" s="289"/>
      <c r="IZ88" s="300" t="e">
        <f>$IZ$1*HV88</f>
        <v>#VALUE!</v>
      </c>
      <c r="JA88" s="123"/>
      <c r="JB88" s="298"/>
      <c r="JC88" s="123"/>
      <c r="JD88" s="123"/>
      <c r="JE88" s="298"/>
    </row>
    <row r="89" spans="1:265" ht="24.95" customHeight="1">
      <c r="A89" s="318" t="s">
        <v>513</v>
      </c>
      <c r="B89" s="56" t="s">
        <v>35</v>
      </c>
      <c r="C89" s="56" t="s">
        <v>117</v>
      </c>
      <c r="D89" s="56">
        <v>2019</v>
      </c>
      <c r="E89" s="56"/>
      <c r="F89" s="56" t="s">
        <v>488</v>
      </c>
      <c r="G89" s="56"/>
      <c r="H89" s="56"/>
      <c r="I89" s="56"/>
      <c r="J89" s="56" t="s">
        <v>256</v>
      </c>
      <c r="K89" s="275" t="s">
        <v>543</v>
      </c>
      <c r="L89" s="178"/>
      <c r="M89" s="179"/>
      <c r="N89" s="180"/>
      <c r="O89" s="245"/>
      <c r="P89" s="245"/>
      <c r="Q89" s="245"/>
      <c r="R89" s="245"/>
      <c r="S89" s="245"/>
      <c r="T89" s="719"/>
      <c r="U89" s="719"/>
      <c r="V89" s="719"/>
      <c r="W89" s="245"/>
      <c r="X89" s="220"/>
      <c r="Y89" s="221"/>
      <c r="Z89" s="220"/>
      <c r="AA89" s="220"/>
      <c r="AB89" s="221"/>
      <c r="AC89" s="56" t="s">
        <v>487</v>
      </c>
      <c r="AD89" s="345">
        <f t="shared" si="202"/>
        <v>83</v>
      </c>
      <c r="AE89" s="67"/>
      <c r="AF89" s="120"/>
      <c r="AG89" s="120"/>
      <c r="AH89" s="205">
        <v>83</v>
      </c>
      <c r="AI89" s="60"/>
      <c r="AJ89" s="95"/>
      <c r="AK89" s="9"/>
      <c r="AL89" s="81"/>
      <c r="AM89" s="81"/>
      <c r="AN89" s="81"/>
      <c r="AO89" s="81"/>
      <c r="AP89" s="81"/>
      <c r="AQ89" s="60"/>
      <c r="AR89" s="79"/>
      <c r="AS89" s="81"/>
      <c r="AT89" s="60"/>
      <c r="AU89" s="56"/>
      <c r="AV89" s="56"/>
      <c r="AW89" s="56"/>
      <c r="AX89" s="56"/>
      <c r="AY89" s="115"/>
      <c r="AZ89" s="115"/>
      <c r="BA89" s="100"/>
      <c r="BB89" s="216"/>
      <c r="BC89" s="102"/>
      <c r="BD89" s="102"/>
      <c r="BE89" s="216"/>
      <c r="BF89" s="102"/>
      <c r="BG89" s="172"/>
      <c r="BH89" s="215"/>
      <c r="BI89" s="172"/>
      <c r="BJ89" s="172"/>
      <c r="BK89" s="103"/>
      <c r="BL89" s="200">
        <f>DATE(YEAR(BK89),MONTH(BK89)+24,DAY(BK89))</f>
        <v>731</v>
      </c>
      <c r="BM89" s="200">
        <f>DATE(YEAR(BK89),MONTH(BK89)+36,DAY(BK89))</f>
        <v>1096</v>
      </c>
      <c r="BN89" s="200"/>
      <c r="BO89" s="172"/>
      <c r="BP89" s="177"/>
      <c r="BQ89" s="103"/>
      <c r="BR89" s="104"/>
      <c r="BS89" s="104"/>
      <c r="BT89" s="104"/>
      <c r="BU89" s="170"/>
      <c r="BV89" s="268"/>
      <c r="BW89" s="268"/>
      <c r="BX89" s="169"/>
      <c r="BY89" s="268"/>
      <c r="BZ89" s="268"/>
      <c r="CA89" s="268"/>
      <c r="CB89" s="450"/>
      <c r="CC89" s="450"/>
      <c r="CD89" s="509"/>
      <c r="CE89" s="384">
        <v>43845</v>
      </c>
      <c r="CF89" s="377"/>
      <c r="CG89" s="494">
        <f t="shared" si="203"/>
        <v>1461.5</v>
      </c>
      <c r="CH89" s="262">
        <v>12</v>
      </c>
      <c r="CI89" s="262">
        <f t="shared" si="204"/>
        <v>13</v>
      </c>
      <c r="CJ89" s="257">
        <f t="shared" si="205"/>
        <v>13</v>
      </c>
      <c r="CK89" s="257">
        <f t="shared" si="206"/>
        <v>15</v>
      </c>
      <c r="CL89" s="257">
        <f t="shared" si="207"/>
        <v>1</v>
      </c>
      <c r="CM89" s="257">
        <f t="shared" si="208"/>
        <v>2</v>
      </c>
      <c r="CN89" s="263"/>
      <c r="CO89" s="263">
        <f t="shared" si="209"/>
        <v>0</v>
      </c>
      <c r="CP89" s="258"/>
      <c r="CQ89" s="699">
        <f t="shared" si="210"/>
        <v>44211</v>
      </c>
      <c r="CR89" s="391">
        <f>DATE(YEAR(CE89),MONTH(CE89)+CH89+1,DAY(CE89))</f>
        <v>44242</v>
      </c>
      <c r="CS89" s="388"/>
      <c r="CT89" s="258"/>
      <c r="CU89" s="258"/>
      <c r="CV89" s="650">
        <f t="shared" si="212"/>
        <v>44270</v>
      </c>
      <c r="CW89" s="506">
        <f>DATE(YEAR(CV89),MONTH(CV89)+1,DAY(CV89))</f>
        <v>44301</v>
      </c>
      <c r="CX89" s="654"/>
      <c r="CY89" s="123"/>
      <c r="CZ89" s="127"/>
      <c r="DA89" s="127"/>
      <c r="DB89" s="127"/>
      <c r="DC89" s="127"/>
      <c r="DD89" s="127"/>
      <c r="DE89" s="56"/>
      <c r="DF89" s="56"/>
      <c r="DG89" s="56"/>
      <c r="DH89" s="56"/>
      <c r="DI89" s="56"/>
      <c r="DJ89" s="56"/>
      <c r="DK89" s="56"/>
      <c r="DL89" s="56"/>
      <c r="DM89" s="56"/>
      <c r="DN89" s="56"/>
      <c r="DO89" s="56"/>
      <c r="DP89" s="56"/>
      <c r="DQ89" s="56"/>
      <c r="DR89" s="56"/>
      <c r="DS89" s="610"/>
      <c r="DT89" s="613"/>
      <c r="DU89" s="613"/>
      <c r="DV89" s="615" t="str">
        <f t="shared" si="213"/>
        <v>0</v>
      </c>
      <c r="DW89" s="613"/>
      <c r="DX89" s="613"/>
      <c r="DY89" s="615" t="str">
        <f t="shared" si="214"/>
        <v>0</v>
      </c>
      <c r="DZ89" s="613"/>
      <c r="EA89" s="613"/>
      <c r="EB89" s="615" t="str">
        <f t="shared" si="215"/>
        <v>0</v>
      </c>
      <c r="EC89" s="613"/>
      <c r="ED89" s="613"/>
      <c r="EE89" s="615" t="str">
        <f t="shared" si="216"/>
        <v>0</v>
      </c>
      <c r="EF89" s="616"/>
      <c r="EG89" s="617"/>
      <c r="EH89" s="615" t="str">
        <f t="shared" si="217"/>
        <v>0</v>
      </c>
      <c r="EI89" s="618"/>
      <c r="EJ89" s="594"/>
      <c r="EK89" s="595"/>
      <c r="EL89" s="596" t="str">
        <f t="shared" si="218"/>
        <v>0</v>
      </c>
      <c r="EM89" s="594"/>
      <c r="EN89" s="595"/>
      <c r="EO89" s="596" t="str">
        <f t="shared" si="219"/>
        <v>0</v>
      </c>
      <c r="EP89" s="594"/>
      <c r="EQ89" s="595"/>
      <c r="ER89" s="596" t="str">
        <f t="shared" si="220"/>
        <v>0</v>
      </c>
      <c r="ES89" s="594"/>
      <c r="ET89" s="622"/>
      <c r="EU89" s="597" t="str">
        <f t="shared" si="221"/>
        <v>0</v>
      </c>
      <c r="EV89" s="598"/>
      <c r="EW89" s="599">
        <f ca="1">IF(EV89&lt;TODAY(),TODAY(),EV89)</f>
        <v>43163</v>
      </c>
      <c r="EX89" s="596" t="str">
        <f t="shared" ca="1" si="222"/>
        <v>0</v>
      </c>
      <c r="EY89" s="595"/>
      <c r="EZ89" s="600"/>
      <c r="FA89" s="596" t="str">
        <f t="shared" si="223"/>
        <v>0</v>
      </c>
      <c r="FB89" s="602"/>
      <c r="FC89" s="602"/>
      <c r="FD89" s="596" t="str">
        <f t="shared" si="224"/>
        <v>0</v>
      </c>
      <c r="FE89" s="602"/>
      <c r="FF89" s="602"/>
      <c r="FG89" s="596" t="str">
        <f t="shared" si="225"/>
        <v>0</v>
      </c>
      <c r="FH89" s="600"/>
      <c r="FI89" s="600"/>
      <c r="FJ89" s="596" t="str">
        <f t="shared" si="226"/>
        <v>0</v>
      </c>
      <c r="FK89" s="602"/>
      <c r="FL89" s="602"/>
      <c r="FM89" s="602"/>
      <c r="FN89" s="602"/>
      <c r="FO89" s="600">
        <f t="shared" si="227"/>
        <v>44242</v>
      </c>
      <c r="FP89" s="598">
        <f t="shared" si="228"/>
        <v>0</v>
      </c>
      <c r="FQ89" s="602"/>
      <c r="FR89" s="600">
        <f t="shared" si="229"/>
        <v>44301</v>
      </c>
      <c r="FS89" s="627"/>
      <c r="FT89" s="627"/>
      <c r="FU89" s="627"/>
      <c r="FV89" s="627"/>
      <c r="FW89" s="628">
        <f t="shared" si="230"/>
        <v>0</v>
      </c>
      <c r="FX89" s="628">
        <f t="shared" si="231"/>
        <v>1476.7</v>
      </c>
      <c r="FY89" s="624"/>
      <c r="FZ89" s="641"/>
      <c r="GA89" s="624"/>
      <c r="GB89" s="624"/>
      <c r="GC89" s="118"/>
      <c r="GD89" s="118"/>
      <c r="GE89" s="426">
        <f t="shared" si="189"/>
        <v>0</v>
      </c>
      <c r="GF89" s="426">
        <f t="shared" si="232"/>
        <v>0</v>
      </c>
      <c r="GG89" s="426">
        <f t="shared" si="233"/>
        <v>0</v>
      </c>
      <c r="GH89" s="426" t="e">
        <f t="shared" si="234"/>
        <v>#DIV/0!</v>
      </c>
      <c r="GI89" s="426">
        <f t="shared" si="244"/>
        <v>0</v>
      </c>
      <c r="GJ89" s="426"/>
      <c r="GK89" s="426"/>
      <c r="GL89" s="426">
        <f t="shared" si="235"/>
        <v>0</v>
      </c>
      <c r="GM89" s="112" t="e">
        <f t="shared" si="236"/>
        <v>#DIV/0!</v>
      </c>
      <c r="GN89" s="112">
        <v>0.4</v>
      </c>
      <c r="GO89" s="426"/>
      <c r="GP89" s="426"/>
      <c r="GQ89" s="427">
        <f t="shared" si="245"/>
        <v>0</v>
      </c>
      <c r="GR89" s="426"/>
      <c r="GS89" s="426"/>
      <c r="GT89" s="426">
        <f t="shared" si="243"/>
        <v>0</v>
      </c>
      <c r="GU89" s="426"/>
      <c r="GV89" s="426"/>
      <c r="GW89" s="426">
        <f t="shared" si="237"/>
        <v>0</v>
      </c>
      <c r="GX89" s="426">
        <f t="shared" si="246"/>
        <v>0</v>
      </c>
      <c r="GY89" s="426"/>
      <c r="GZ89" s="426"/>
      <c r="HA89" s="426"/>
      <c r="HB89" s="426"/>
      <c r="HC89" s="428" t="e">
        <f t="shared" si="238"/>
        <v>#DIV/0!</v>
      </c>
      <c r="HD89" s="433"/>
      <c r="HE89" s="426"/>
      <c r="HF89" s="426">
        <f t="shared" si="239"/>
        <v>0</v>
      </c>
      <c r="HG89" s="427">
        <f t="shared" si="247"/>
        <v>0</v>
      </c>
      <c r="HH89" s="429">
        <f t="shared" si="248"/>
        <v>0</v>
      </c>
      <c r="HI89" s="426">
        <f t="shared" si="249"/>
        <v>0</v>
      </c>
      <c r="HJ89" s="430">
        <v>6.31</v>
      </c>
      <c r="HK89" s="430"/>
      <c r="HL89" s="426"/>
      <c r="HM89" s="426"/>
      <c r="HN89" s="426">
        <f t="shared" si="250"/>
        <v>0</v>
      </c>
      <c r="HO89" s="426"/>
      <c r="HP89" s="426">
        <f t="shared" si="251"/>
        <v>0</v>
      </c>
      <c r="HQ89" s="112" t="e">
        <f t="shared" si="240"/>
        <v>#DIV/0!</v>
      </c>
      <c r="HR89" s="426"/>
      <c r="HS89" s="426"/>
      <c r="HT89" s="426"/>
      <c r="HU89" s="431">
        <f t="shared" si="241"/>
        <v>0</v>
      </c>
      <c r="HV89" s="296"/>
      <c r="HW89" s="296">
        <f t="shared" si="242"/>
        <v>0</v>
      </c>
      <c r="HX89" s="297"/>
      <c r="HY89" s="300">
        <v>0</v>
      </c>
      <c r="HZ89" s="300"/>
      <c r="IA89" s="272"/>
      <c r="IB89" s="272"/>
      <c r="IC89" s="424">
        <v>0</v>
      </c>
      <c r="ID89" s="281"/>
      <c r="IE89" s="293">
        <v>0</v>
      </c>
      <c r="IF89" s="281"/>
      <c r="IG89" s="523"/>
      <c r="IH89" s="298"/>
      <c r="II89" s="303"/>
      <c r="IJ89" s="301"/>
      <c r="IK89" s="301"/>
      <c r="IL89" s="295"/>
      <c r="IM89" s="296"/>
      <c r="IN89" s="295"/>
      <c r="IO89" s="296"/>
      <c r="IP89" s="326"/>
      <c r="IQ89" s="326"/>
      <c r="IR89" s="326"/>
      <c r="IS89" s="326"/>
      <c r="IT89" s="289"/>
      <c r="IU89" s="289"/>
      <c r="IV89" s="289"/>
      <c r="IW89" s="289"/>
      <c r="IX89" s="289"/>
      <c r="IY89" s="289"/>
      <c r="IZ89" s="300" t="e">
        <f>$IZ$1*HV89</f>
        <v>#VALUE!</v>
      </c>
      <c r="JA89" s="123"/>
      <c r="JB89" s="298"/>
      <c r="JC89" s="123"/>
      <c r="JD89" s="123"/>
      <c r="JE89" s="298"/>
    </row>
    <row r="90" spans="1:265" ht="58.5" customHeight="1">
      <c r="A90" s="643" t="s">
        <v>897</v>
      </c>
      <c r="B90" s="56" t="s">
        <v>35</v>
      </c>
      <c r="C90" s="56" t="s">
        <v>117</v>
      </c>
      <c r="D90" s="56">
        <v>2018</v>
      </c>
      <c r="E90" s="56" t="s">
        <v>741</v>
      </c>
      <c r="F90" s="56" t="s">
        <v>419</v>
      </c>
      <c r="G90" s="56" t="s">
        <v>297</v>
      </c>
      <c r="H90" s="58" t="s">
        <v>253</v>
      </c>
      <c r="I90" s="56"/>
      <c r="J90" s="56" t="s">
        <v>731</v>
      </c>
      <c r="K90" s="275" t="s">
        <v>744</v>
      </c>
      <c r="L90" s="178"/>
      <c r="M90" s="179"/>
      <c r="N90" s="332" t="s">
        <v>743</v>
      </c>
      <c r="O90" s="219">
        <v>1597</v>
      </c>
      <c r="P90" s="219"/>
      <c r="Q90" s="219"/>
      <c r="R90" s="219"/>
      <c r="S90" s="219">
        <f>P90/O90</f>
        <v>0</v>
      </c>
      <c r="T90" s="225">
        <f>Q90/O90</f>
        <v>0</v>
      </c>
      <c r="U90" s="225" t="e">
        <f>Q90/AJ90</f>
        <v>#DIV/0!</v>
      </c>
      <c r="V90" s="225">
        <f>Q90/AD90</f>
        <v>0</v>
      </c>
      <c r="W90" s="219">
        <f>O90/AD90</f>
        <v>53.233333333333334</v>
      </c>
      <c r="X90" s="220"/>
      <c r="Y90" s="221"/>
      <c r="Z90" s="220"/>
      <c r="AA90" s="220"/>
      <c r="AB90" s="221"/>
      <c r="AC90" s="56" t="s">
        <v>480</v>
      </c>
      <c r="AD90" s="345">
        <f t="shared" si="202"/>
        <v>30</v>
      </c>
      <c r="AE90" s="120"/>
      <c r="AF90" s="67"/>
      <c r="AG90" s="56">
        <v>30</v>
      </c>
      <c r="AH90" s="67"/>
      <c r="AI90" s="60">
        <v>2237</v>
      </c>
      <c r="AJ90" s="95"/>
      <c r="AK90" s="9"/>
      <c r="AL90" s="81"/>
      <c r="AM90" s="81"/>
      <c r="AN90" s="81"/>
      <c r="AO90" s="81"/>
      <c r="AP90" s="81"/>
      <c r="AQ90" s="60"/>
      <c r="AR90" s="79"/>
      <c r="AS90" s="81"/>
      <c r="AT90" s="60"/>
      <c r="AU90" s="59"/>
      <c r="AV90" s="56"/>
      <c r="AW90" s="252"/>
      <c r="AX90" s="252"/>
      <c r="AY90" s="115"/>
      <c r="AZ90" s="115"/>
      <c r="BA90" s="100"/>
      <c r="BB90" s="216"/>
      <c r="BC90" s="102"/>
      <c r="BD90" s="102"/>
      <c r="BE90" s="216"/>
      <c r="BF90" s="102"/>
      <c r="BG90" s="172"/>
      <c r="BH90" s="215"/>
      <c r="BI90" s="172"/>
      <c r="BJ90" s="172"/>
      <c r="BK90" s="103"/>
      <c r="BL90" s="200"/>
      <c r="BM90" s="200"/>
      <c r="BN90" s="200"/>
      <c r="BO90" s="172"/>
      <c r="BP90" s="177"/>
      <c r="BQ90" s="103"/>
      <c r="BR90" s="104"/>
      <c r="BS90" s="104"/>
      <c r="BT90" s="104"/>
      <c r="BU90" s="170"/>
      <c r="BV90" s="268"/>
      <c r="BW90" s="268"/>
      <c r="BX90" s="169"/>
      <c r="BY90" s="268"/>
      <c r="BZ90" s="268"/>
      <c r="CA90" s="268"/>
      <c r="CB90" s="268" t="s">
        <v>177</v>
      </c>
      <c r="CC90" s="682"/>
      <c r="CD90" s="509"/>
      <c r="CE90" s="384">
        <v>43926</v>
      </c>
      <c r="CF90" s="377"/>
      <c r="CG90" s="494">
        <f t="shared" si="203"/>
        <v>1464.2</v>
      </c>
      <c r="CH90" s="262">
        <v>16</v>
      </c>
      <c r="CI90" s="262">
        <f t="shared" si="204"/>
        <v>17</v>
      </c>
      <c r="CJ90" s="257">
        <f t="shared" si="205"/>
        <v>16</v>
      </c>
      <c r="CK90" s="257">
        <f t="shared" si="206"/>
        <v>17</v>
      </c>
      <c r="CL90" s="257">
        <f t="shared" si="207"/>
        <v>0</v>
      </c>
      <c r="CM90" s="257">
        <f t="shared" si="208"/>
        <v>0</v>
      </c>
      <c r="CN90" s="263"/>
      <c r="CO90" s="263">
        <f t="shared" si="209"/>
        <v>0</v>
      </c>
      <c r="CP90" s="258"/>
      <c r="CQ90" s="699">
        <f t="shared" si="210"/>
        <v>44413</v>
      </c>
      <c r="CR90" s="391">
        <f>DATE(YEAR(CE90),MONTH(CE90)+CH90,DAY(CE90))</f>
        <v>44413</v>
      </c>
      <c r="CS90" s="388">
        <f>DATE(YEAR(CA90)+2,MONTH(CA90),DAY(CA90))</f>
        <v>731</v>
      </c>
      <c r="CT90" s="258"/>
      <c r="CU90" s="258"/>
      <c r="CV90" s="650">
        <f t="shared" si="212"/>
        <v>44444</v>
      </c>
      <c r="CW90" s="506">
        <f>CV90</f>
        <v>44444</v>
      </c>
      <c r="CX90" s="654"/>
      <c r="CY90" s="123"/>
      <c r="CZ90" s="127"/>
      <c r="DA90" s="127"/>
      <c r="DB90" s="127"/>
      <c r="DC90" s="127"/>
      <c r="DD90" s="127"/>
      <c r="DE90" s="56"/>
      <c r="DF90" s="56"/>
      <c r="DG90" s="56"/>
      <c r="DH90" s="56"/>
      <c r="DI90" s="56"/>
      <c r="DJ90" s="56"/>
      <c r="DK90" s="56"/>
      <c r="DL90" s="56"/>
      <c r="DM90" s="56"/>
      <c r="DN90" s="56"/>
      <c r="DO90" s="56"/>
      <c r="DP90" s="56"/>
      <c r="DQ90" s="56"/>
      <c r="DR90" s="56"/>
      <c r="DS90" s="610">
        <v>43150</v>
      </c>
      <c r="DT90" s="613">
        <v>43151</v>
      </c>
      <c r="DU90" s="613"/>
      <c r="DV90" s="615" t="str">
        <f t="shared" si="213"/>
        <v>0</v>
      </c>
      <c r="DW90" s="613">
        <v>43266</v>
      </c>
      <c r="DX90" s="613">
        <v>43266</v>
      </c>
      <c r="DY90" s="615">
        <f t="shared" si="214"/>
        <v>0</v>
      </c>
      <c r="DZ90" s="613">
        <v>43245</v>
      </c>
      <c r="EA90" s="613">
        <f ca="1">IF(DZ90&lt;TODAY(),TODAY(),DZ90)</f>
        <v>43245</v>
      </c>
      <c r="EB90" s="615">
        <f t="shared" ca="1" si="215"/>
        <v>0</v>
      </c>
      <c r="EC90" s="613">
        <v>43326</v>
      </c>
      <c r="ED90" s="613">
        <f ca="1">IF(EC90&lt;TODAY(),TODAY(),EC90)</f>
        <v>43326</v>
      </c>
      <c r="EE90" s="615">
        <f t="shared" ca="1" si="216"/>
        <v>0</v>
      </c>
      <c r="EF90" s="613">
        <v>43388</v>
      </c>
      <c r="EG90" s="613">
        <f ca="1">IF(EF90&lt;TODAY(),TODAY(),EF90)</f>
        <v>43388</v>
      </c>
      <c r="EH90" s="615">
        <f t="shared" ca="1" si="217"/>
        <v>0</v>
      </c>
      <c r="EI90" s="614"/>
      <c r="EJ90" s="594">
        <v>43676</v>
      </c>
      <c r="EK90" s="600">
        <f ca="1">IF(EJ90&lt;TODAY(),TODAY(),EJ90)</f>
        <v>43676</v>
      </c>
      <c r="EL90" s="596">
        <f t="shared" ca="1" si="218"/>
        <v>0</v>
      </c>
      <c r="EM90" s="594">
        <v>43691</v>
      </c>
      <c r="EN90" s="600">
        <f ca="1">IF(EM90&lt;TODAY(),TODAY(),EM90)</f>
        <v>43691</v>
      </c>
      <c r="EO90" s="596">
        <f t="shared" ca="1" si="219"/>
        <v>0</v>
      </c>
      <c r="EP90" s="594"/>
      <c r="EQ90" s="600">
        <f ca="1">IF(EP90&lt;TODAY(),TODAY(),EP90)</f>
        <v>43163</v>
      </c>
      <c r="ER90" s="596" t="str">
        <f t="shared" ca="1" si="220"/>
        <v>0</v>
      </c>
      <c r="ES90" s="594"/>
      <c r="ET90" s="622">
        <f ca="1">IF(ES90&lt;TODAY(),TODAY(),ES90)</f>
        <v>43163</v>
      </c>
      <c r="EU90" s="597" t="str">
        <f t="shared" ca="1" si="221"/>
        <v>0</v>
      </c>
      <c r="EV90" s="598"/>
      <c r="EW90" s="600">
        <f ca="1">IF(EV90&lt;TODAY(),TODAY(),EV90)</f>
        <v>43163</v>
      </c>
      <c r="EX90" s="596" t="str">
        <f t="shared" ca="1" si="222"/>
        <v>0</v>
      </c>
      <c r="EY90" s="600"/>
      <c r="EZ90" s="600">
        <f ca="1">IF(EY90&lt;TODAY(),TODAY(),EY90)</f>
        <v>43163</v>
      </c>
      <c r="FA90" s="596" t="str">
        <f t="shared" ca="1" si="223"/>
        <v>0</v>
      </c>
      <c r="FB90" s="600"/>
      <c r="FC90" s="600">
        <f ca="1">IF(FB90&lt;TODAY(),TODAY(),FB90)</f>
        <v>43163</v>
      </c>
      <c r="FD90" s="596" t="str">
        <f t="shared" ca="1" si="224"/>
        <v>0</v>
      </c>
      <c r="FE90" s="600"/>
      <c r="FF90" s="600">
        <f ca="1">IF(FE90&lt;TODAY(),TODAY(),FE90)</f>
        <v>43163</v>
      </c>
      <c r="FG90" s="596" t="str">
        <f t="shared" ca="1" si="225"/>
        <v>0</v>
      </c>
      <c r="FH90" s="600"/>
      <c r="FI90" s="600">
        <f ca="1">IF(FH90&lt;TODAY(),TODAY(),FH90)</f>
        <v>43163</v>
      </c>
      <c r="FJ90" s="596" t="str">
        <f t="shared" ca="1" si="226"/>
        <v>0</v>
      </c>
      <c r="FK90" s="600"/>
      <c r="FL90" s="600"/>
      <c r="FM90" s="600"/>
      <c r="FN90" s="600">
        <v>44291</v>
      </c>
      <c r="FO90" s="600">
        <f t="shared" si="227"/>
        <v>44413</v>
      </c>
      <c r="FP90" s="598">
        <f t="shared" ca="1" si="228"/>
        <v>20</v>
      </c>
      <c r="FQ90" s="600">
        <v>44321</v>
      </c>
      <c r="FR90" s="600">
        <f t="shared" si="229"/>
        <v>44444</v>
      </c>
      <c r="FS90" s="627">
        <v>0</v>
      </c>
      <c r="FT90" s="627">
        <v>0</v>
      </c>
      <c r="FU90" s="627"/>
      <c r="FV90" s="627"/>
      <c r="FW90" s="628">
        <f t="shared" ca="1" si="230"/>
        <v>0</v>
      </c>
      <c r="FX90" s="628">
        <f t="shared" si="231"/>
        <v>4.0999999999999996</v>
      </c>
      <c r="FY90" s="624"/>
      <c r="FZ90" s="641"/>
      <c r="GA90" s="624" t="s">
        <v>840</v>
      </c>
      <c r="GB90" s="624"/>
      <c r="GC90" s="118"/>
      <c r="GD90" s="118"/>
      <c r="GE90" s="96">
        <f t="shared" si="189"/>
        <v>5276624</v>
      </c>
      <c r="GF90" s="70">
        <f t="shared" si="232"/>
        <v>0</v>
      </c>
      <c r="GG90" s="97">
        <f t="shared" si="233"/>
        <v>-5276624</v>
      </c>
      <c r="GH90" s="52">
        <f t="shared" si="234"/>
        <v>2358.7948144836837</v>
      </c>
      <c r="GI90" s="52">
        <f t="shared" si="244"/>
        <v>175887.46666666667</v>
      </c>
      <c r="GJ90" s="96"/>
      <c r="GK90" s="70"/>
      <c r="GL90" s="97">
        <f t="shared" si="235"/>
        <v>0</v>
      </c>
      <c r="GM90" s="138" t="e">
        <f t="shared" si="236"/>
        <v>#DIV/0!</v>
      </c>
      <c r="GN90" s="139">
        <v>0.4</v>
      </c>
      <c r="GO90" s="96">
        <v>1821843</v>
      </c>
      <c r="GP90" s="70"/>
      <c r="GQ90" s="52">
        <f t="shared" si="245"/>
        <v>60728.1</v>
      </c>
      <c r="GR90" s="98"/>
      <c r="GS90" s="96">
        <v>3454781</v>
      </c>
      <c r="GT90" s="70">
        <f t="shared" si="243"/>
        <v>0</v>
      </c>
      <c r="GU90" s="90"/>
      <c r="GV90" s="90"/>
      <c r="GW90" s="98">
        <f t="shared" si="237"/>
        <v>-3454781</v>
      </c>
      <c r="GX90" s="52">
        <f t="shared" si="246"/>
        <v>115159.36666666667</v>
      </c>
      <c r="GY90" s="70"/>
      <c r="GZ90" s="96"/>
      <c r="HA90" s="70"/>
      <c r="HB90" s="70"/>
      <c r="HC90" s="91">
        <f t="shared" si="238"/>
        <v>0</v>
      </c>
      <c r="HD90" s="329"/>
      <c r="HE90" s="70"/>
      <c r="HF90" s="92">
        <f t="shared" si="239"/>
        <v>0</v>
      </c>
      <c r="HG90" s="52">
        <f t="shared" si="247"/>
        <v>0</v>
      </c>
      <c r="HH90" s="84">
        <f t="shared" si="248"/>
        <v>60728.1</v>
      </c>
      <c r="HI90" s="92">
        <f t="shared" si="249"/>
        <v>0</v>
      </c>
      <c r="HJ90" s="93">
        <v>6.31</v>
      </c>
      <c r="HK90" s="93"/>
      <c r="HL90" s="94"/>
      <c r="HM90" s="94"/>
      <c r="HN90" s="52">
        <f t="shared" si="250"/>
        <v>60728.1</v>
      </c>
      <c r="HO90" s="94"/>
      <c r="HP90" s="52">
        <f t="shared" si="251"/>
        <v>0</v>
      </c>
      <c r="HQ90" s="53">
        <f t="shared" si="240"/>
        <v>0.34526678421657486</v>
      </c>
      <c r="HR90" s="94"/>
      <c r="HS90" s="94"/>
      <c r="HT90" s="70"/>
      <c r="HU90" s="99">
        <f t="shared" si="241"/>
        <v>5276624</v>
      </c>
      <c r="HV90" s="296"/>
      <c r="HW90" s="296">
        <f t="shared" si="242"/>
        <v>0</v>
      </c>
      <c r="HX90" s="119"/>
      <c r="HY90" s="245"/>
      <c r="HZ90" s="245"/>
      <c r="IA90" s="119"/>
      <c r="IB90" s="119"/>
      <c r="IC90" s="245"/>
      <c r="ID90" s="119"/>
      <c r="IE90" s="245"/>
      <c r="IF90" s="119"/>
      <c r="IG90" s="245"/>
      <c r="IH90" s="120"/>
      <c r="II90" s="350"/>
      <c r="IJ90" s="341"/>
      <c r="IK90" s="341"/>
      <c r="IL90" s="295"/>
      <c r="IM90" s="304"/>
      <c r="IN90" s="295"/>
      <c r="IO90" s="304"/>
      <c r="IP90" s="326"/>
      <c r="IQ90" s="326"/>
      <c r="IR90" s="326"/>
      <c r="IS90" s="326"/>
      <c r="IT90" s="289"/>
      <c r="IU90" s="289"/>
      <c r="IV90" s="289"/>
      <c r="IW90" s="289"/>
      <c r="IX90" s="289"/>
      <c r="IY90" s="289"/>
      <c r="IZ90" s="245"/>
      <c r="JA90" s="128"/>
      <c r="JB90" s="120"/>
      <c r="JC90" s="128"/>
      <c r="JD90" s="128"/>
      <c r="JE90" s="120"/>
    </row>
    <row r="91" spans="1:265" ht="24.95" customHeight="1">
      <c r="A91" s="89" t="s">
        <v>692</v>
      </c>
      <c r="B91" s="56" t="s">
        <v>35</v>
      </c>
      <c r="C91" s="56" t="s">
        <v>117</v>
      </c>
      <c r="D91" s="56">
        <v>2019</v>
      </c>
      <c r="E91" s="56"/>
      <c r="F91" s="56" t="s">
        <v>424</v>
      </c>
      <c r="G91" s="56"/>
      <c r="H91" s="56" t="s">
        <v>253</v>
      </c>
      <c r="I91" s="56"/>
      <c r="J91" s="56" t="s">
        <v>681</v>
      </c>
      <c r="K91" s="275" t="s">
        <v>712</v>
      </c>
      <c r="L91" s="178" t="s">
        <v>682</v>
      </c>
      <c r="M91" s="179"/>
      <c r="N91" s="180"/>
      <c r="O91" s="219">
        <v>5498</v>
      </c>
      <c r="P91" s="219">
        <v>924932</v>
      </c>
      <c r="Q91" s="219"/>
      <c r="R91" s="219"/>
      <c r="S91" s="219"/>
      <c r="T91" s="225"/>
      <c r="U91" s="225"/>
      <c r="V91" s="225"/>
      <c r="W91" s="219"/>
      <c r="X91" s="220"/>
      <c r="Y91" s="221"/>
      <c r="Z91" s="220" t="s">
        <v>197</v>
      </c>
      <c r="AA91" s="220">
        <v>580</v>
      </c>
      <c r="AB91" s="221">
        <v>0.1</v>
      </c>
      <c r="AC91" s="56" t="s">
        <v>15</v>
      </c>
      <c r="AD91" s="345">
        <f t="shared" si="202"/>
        <v>42</v>
      </c>
      <c r="AE91" s="56">
        <v>42</v>
      </c>
      <c r="AF91" s="67"/>
      <c r="AG91" s="67"/>
      <c r="AH91" s="67"/>
      <c r="AI91" s="60"/>
      <c r="AJ91" s="95"/>
      <c r="AK91" s="60"/>
      <c r="AL91" s="81"/>
      <c r="AM91" s="81"/>
      <c r="AN91" s="81"/>
      <c r="AO91" s="81"/>
      <c r="AP91" s="81"/>
      <c r="AQ91" s="60"/>
      <c r="AR91" s="79"/>
      <c r="AS91" s="81"/>
      <c r="AT91" s="60"/>
      <c r="AU91" s="56"/>
      <c r="AV91" s="56"/>
      <c r="AW91" s="56"/>
      <c r="AX91" s="56"/>
      <c r="AY91" s="115"/>
      <c r="AZ91" s="115"/>
      <c r="BA91" s="100"/>
      <c r="BB91" s="216"/>
      <c r="BC91" s="102"/>
      <c r="BD91" s="102"/>
      <c r="BE91" s="216"/>
      <c r="BF91" s="102"/>
      <c r="BG91" s="172"/>
      <c r="BH91" s="215"/>
      <c r="BI91" s="172"/>
      <c r="BJ91" s="172"/>
      <c r="BK91" s="103"/>
      <c r="BL91" s="200"/>
      <c r="BM91" s="200"/>
      <c r="BN91" s="200"/>
      <c r="BO91" s="172"/>
      <c r="BP91" s="177"/>
      <c r="BQ91" s="103"/>
      <c r="BR91" s="104"/>
      <c r="BS91" s="104"/>
      <c r="BT91" s="104"/>
      <c r="BU91" s="170"/>
      <c r="BV91" s="268"/>
      <c r="BW91" s="268"/>
      <c r="BX91" s="169"/>
      <c r="BY91" s="268"/>
      <c r="BZ91" s="268"/>
      <c r="CA91" s="268"/>
      <c r="CB91" s="268" t="s">
        <v>177</v>
      </c>
      <c r="CC91" s="682"/>
      <c r="CD91" s="509"/>
      <c r="CE91" s="384">
        <v>43647</v>
      </c>
      <c r="CF91" s="377"/>
      <c r="CG91" s="494">
        <f t="shared" si="203"/>
        <v>1454.9</v>
      </c>
      <c r="CH91" s="262">
        <v>24</v>
      </c>
      <c r="CI91" s="262">
        <f t="shared" si="204"/>
        <v>25</v>
      </c>
      <c r="CJ91" s="257">
        <f t="shared" si="205"/>
        <v>24</v>
      </c>
      <c r="CK91" s="257">
        <f t="shared" si="206"/>
        <v>25</v>
      </c>
      <c r="CL91" s="257">
        <f t="shared" si="207"/>
        <v>0</v>
      </c>
      <c r="CM91" s="257">
        <f t="shared" si="208"/>
        <v>0</v>
      </c>
      <c r="CN91" s="263"/>
      <c r="CO91" s="263">
        <f t="shared" si="209"/>
        <v>0</v>
      </c>
      <c r="CP91" s="258"/>
      <c r="CQ91" s="699">
        <f t="shared" si="210"/>
        <v>44378</v>
      </c>
      <c r="CR91" s="391">
        <f>DATE(YEAR(CE91),MONTH(CE91)+CH91,DAY(CE91))</f>
        <v>44378</v>
      </c>
      <c r="CS91" s="388">
        <f>DATE(YEAR(CA91)+2,MONTH(CA91),DAY(CA91))</f>
        <v>731</v>
      </c>
      <c r="CT91" s="258"/>
      <c r="CU91" s="258"/>
      <c r="CV91" s="650">
        <f t="shared" si="212"/>
        <v>44409</v>
      </c>
      <c r="CW91" s="506">
        <f>CV91</f>
        <v>44409</v>
      </c>
      <c r="CX91" s="654"/>
      <c r="CY91" s="123"/>
      <c r="CZ91" s="127"/>
      <c r="DA91" s="127"/>
      <c r="DB91" s="127"/>
      <c r="DC91" s="127"/>
      <c r="DD91" s="127"/>
      <c r="DE91" s="56"/>
      <c r="DF91" s="56"/>
      <c r="DG91" s="56"/>
      <c r="DH91" s="56"/>
      <c r="DI91" s="56"/>
      <c r="DJ91" s="56"/>
      <c r="DK91" s="56"/>
      <c r="DL91" s="56"/>
      <c r="DM91" s="56"/>
      <c r="DN91" s="56"/>
      <c r="DO91" s="56"/>
      <c r="DP91" s="56"/>
      <c r="DQ91" s="56"/>
      <c r="DR91" s="56"/>
      <c r="DS91" s="610"/>
      <c r="DT91" s="613"/>
      <c r="DU91" s="613"/>
      <c r="DV91" s="615" t="str">
        <f t="shared" si="213"/>
        <v>0</v>
      </c>
      <c r="DW91" s="613"/>
      <c r="DX91" s="613"/>
      <c r="DY91" s="615" t="str">
        <f t="shared" si="214"/>
        <v>0</v>
      </c>
      <c r="DZ91" s="613"/>
      <c r="EA91" s="613"/>
      <c r="EB91" s="615" t="str">
        <f t="shared" si="215"/>
        <v>0</v>
      </c>
      <c r="EC91" s="613"/>
      <c r="ED91" s="613"/>
      <c r="EE91" s="615" t="str">
        <f t="shared" si="216"/>
        <v>0</v>
      </c>
      <c r="EF91" s="616"/>
      <c r="EG91" s="617"/>
      <c r="EH91" s="615" t="str">
        <f t="shared" si="217"/>
        <v>0</v>
      </c>
      <c r="EI91" s="618"/>
      <c r="EJ91" s="594"/>
      <c r="EK91" s="595"/>
      <c r="EL91" s="596" t="str">
        <f t="shared" si="218"/>
        <v>0</v>
      </c>
      <c r="EM91" s="594"/>
      <c r="EN91" s="595"/>
      <c r="EO91" s="596" t="str">
        <f t="shared" si="219"/>
        <v>0</v>
      </c>
      <c r="EP91" s="594"/>
      <c r="EQ91" s="595"/>
      <c r="ER91" s="596" t="str">
        <f t="shared" si="220"/>
        <v>0</v>
      </c>
      <c r="ES91" s="594"/>
      <c r="ET91" s="622"/>
      <c r="EU91" s="597" t="str">
        <f t="shared" si="221"/>
        <v>0</v>
      </c>
      <c r="EV91" s="598"/>
      <c r="EW91" s="599">
        <f ca="1">IF(EV91&lt;TODAY(),TODAY(),EV91)</f>
        <v>43163</v>
      </c>
      <c r="EX91" s="596" t="str">
        <f t="shared" ca="1" si="222"/>
        <v>0</v>
      </c>
      <c r="EY91" s="600"/>
      <c r="EZ91" s="600"/>
      <c r="FA91" s="596" t="str">
        <f t="shared" si="223"/>
        <v>0</v>
      </c>
      <c r="FB91" s="600"/>
      <c r="FC91" s="600"/>
      <c r="FD91" s="596" t="str">
        <f t="shared" si="224"/>
        <v>0</v>
      </c>
      <c r="FE91" s="600"/>
      <c r="FF91" s="600"/>
      <c r="FG91" s="596" t="str">
        <f t="shared" si="225"/>
        <v>0</v>
      </c>
      <c r="FH91" s="600"/>
      <c r="FI91" s="600"/>
      <c r="FJ91" s="596" t="str">
        <f t="shared" si="226"/>
        <v>0</v>
      </c>
      <c r="FK91" s="600"/>
      <c r="FL91" s="600"/>
      <c r="FM91" s="600"/>
      <c r="FN91" s="600"/>
      <c r="FO91" s="600">
        <f t="shared" si="227"/>
        <v>44378</v>
      </c>
      <c r="FP91" s="598">
        <f t="shared" si="228"/>
        <v>0</v>
      </c>
      <c r="FQ91" s="600"/>
      <c r="FR91" s="600">
        <f t="shared" si="229"/>
        <v>44409</v>
      </c>
      <c r="FS91" s="627"/>
      <c r="FT91" s="627"/>
      <c r="FU91" s="627"/>
      <c r="FV91" s="627"/>
      <c r="FW91" s="628">
        <f t="shared" si="230"/>
        <v>0</v>
      </c>
      <c r="FX91" s="628">
        <f t="shared" si="231"/>
        <v>1480.3</v>
      </c>
      <c r="FY91" s="624"/>
      <c r="FZ91" s="641"/>
      <c r="GA91" s="624"/>
      <c r="GB91" s="624"/>
      <c r="GC91" s="118"/>
      <c r="GD91" s="118"/>
      <c r="GE91" s="426">
        <f t="shared" si="189"/>
        <v>0</v>
      </c>
      <c r="GF91" s="426">
        <f t="shared" si="232"/>
        <v>0</v>
      </c>
      <c r="GG91" s="426">
        <f t="shared" si="233"/>
        <v>0</v>
      </c>
      <c r="GH91" s="426" t="e">
        <f t="shared" si="234"/>
        <v>#DIV/0!</v>
      </c>
      <c r="GI91" s="426">
        <f t="shared" si="244"/>
        <v>0</v>
      </c>
      <c r="GJ91" s="426"/>
      <c r="GK91" s="426"/>
      <c r="GL91" s="426">
        <f t="shared" si="235"/>
        <v>0</v>
      </c>
      <c r="GM91" s="112" t="e">
        <f t="shared" si="236"/>
        <v>#DIV/0!</v>
      </c>
      <c r="GN91" s="112">
        <v>0.4</v>
      </c>
      <c r="GO91" s="426"/>
      <c r="GP91" s="426"/>
      <c r="GQ91" s="426">
        <f t="shared" si="245"/>
        <v>0</v>
      </c>
      <c r="GR91" s="426"/>
      <c r="GS91" s="426"/>
      <c r="GT91" s="426">
        <f t="shared" si="243"/>
        <v>0</v>
      </c>
      <c r="GU91" s="426"/>
      <c r="GV91" s="426"/>
      <c r="GW91" s="426">
        <f t="shared" si="237"/>
        <v>0</v>
      </c>
      <c r="GX91" s="426">
        <f t="shared" si="246"/>
        <v>0</v>
      </c>
      <c r="GY91" s="426"/>
      <c r="GZ91" s="426"/>
      <c r="HA91" s="426"/>
      <c r="HB91" s="426"/>
      <c r="HC91" s="433" t="e">
        <f t="shared" si="238"/>
        <v>#DIV/0!</v>
      </c>
      <c r="HD91" s="433"/>
      <c r="HE91" s="426"/>
      <c r="HF91" s="426">
        <f t="shared" si="239"/>
        <v>0</v>
      </c>
      <c r="HG91" s="426">
        <f t="shared" si="247"/>
        <v>0</v>
      </c>
      <c r="HH91" s="429">
        <f t="shared" si="248"/>
        <v>0</v>
      </c>
      <c r="HI91" s="426">
        <f t="shared" si="249"/>
        <v>0</v>
      </c>
      <c r="HJ91" s="430">
        <v>6.31</v>
      </c>
      <c r="HK91" s="430"/>
      <c r="HL91" s="426"/>
      <c r="HM91" s="426"/>
      <c r="HN91" s="426">
        <f t="shared" si="250"/>
        <v>0</v>
      </c>
      <c r="HO91" s="426"/>
      <c r="HP91" s="426">
        <f t="shared" si="251"/>
        <v>0</v>
      </c>
      <c r="HQ91" s="112" t="e">
        <f t="shared" si="240"/>
        <v>#DIV/0!</v>
      </c>
      <c r="HR91" s="426"/>
      <c r="HS91" s="426"/>
      <c r="HT91" s="426"/>
      <c r="HU91" s="434">
        <f t="shared" si="241"/>
        <v>0</v>
      </c>
      <c r="HV91" s="296">
        <v>417427</v>
      </c>
      <c r="HW91" s="296">
        <f t="shared" si="242"/>
        <v>41743</v>
      </c>
      <c r="HX91" s="344">
        <v>43026</v>
      </c>
      <c r="HY91" s="342">
        <v>41743</v>
      </c>
      <c r="HZ91" s="63"/>
      <c r="IA91" s="281"/>
      <c r="IB91" s="281"/>
      <c r="IC91" s="424"/>
      <c r="ID91" s="281"/>
      <c r="IE91" s="62"/>
      <c r="IF91" s="281"/>
      <c r="IG91" s="62"/>
      <c r="IH91" s="56"/>
      <c r="II91" s="425"/>
      <c r="IJ91" s="89"/>
      <c r="IK91" s="89"/>
      <c r="IL91" s="127"/>
      <c r="IM91" s="62"/>
      <c r="IN91" s="127"/>
      <c r="IO91" s="62"/>
      <c r="IP91" s="56"/>
      <c r="IQ91" s="56"/>
      <c r="IR91" s="56"/>
      <c r="IS91" s="56"/>
      <c r="IT91" s="289"/>
      <c r="IU91" s="289"/>
      <c r="IV91" s="289"/>
      <c r="IW91" s="289"/>
      <c r="IX91" s="289"/>
      <c r="IY91" s="289"/>
      <c r="IZ91" s="300"/>
      <c r="JA91" s="123"/>
      <c r="JB91" s="298"/>
      <c r="JC91" s="123"/>
      <c r="JD91" s="123"/>
      <c r="JE91" s="298"/>
    </row>
    <row r="92" spans="1:265" ht="24.95" customHeight="1">
      <c r="A92" s="89" t="s">
        <v>691</v>
      </c>
      <c r="B92" s="56" t="s">
        <v>35</v>
      </c>
      <c r="C92" s="56" t="s">
        <v>117</v>
      </c>
      <c r="D92" s="56">
        <v>2019</v>
      </c>
      <c r="E92" s="56"/>
      <c r="F92" s="56" t="s">
        <v>424</v>
      </c>
      <c r="G92" s="56"/>
      <c r="H92" s="56" t="s">
        <v>253</v>
      </c>
      <c r="I92" s="56"/>
      <c r="J92" s="56" t="s">
        <v>681</v>
      </c>
      <c r="K92" s="275" t="s">
        <v>700</v>
      </c>
      <c r="L92" s="178" t="s">
        <v>682</v>
      </c>
      <c r="M92" s="179"/>
      <c r="N92" s="180"/>
      <c r="O92" s="219">
        <v>5498</v>
      </c>
      <c r="P92" s="219">
        <v>1219167</v>
      </c>
      <c r="Q92" s="219"/>
      <c r="R92" s="219"/>
      <c r="S92" s="219"/>
      <c r="T92" s="225"/>
      <c r="U92" s="225"/>
      <c r="V92" s="225"/>
      <c r="W92" s="219"/>
      <c r="X92" s="220"/>
      <c r="Y92" s="221"/>
      <c r="Z92" s="220" t="s">
        <v>197</v>
      </c>
      <c r="AA92" s="220">
        <v>580</v>
      </c>
      <c r="AB92" s="221">
        <v>0.1</v>
      </c>
      <c r="AC92" s="56" t="s">
        <v>16</v>
      </c>
      <c r="AD92" s="345">
        <f t="shared" si="202"/>
        <v>53</v>
      </c>
      <c r="AE92" s="67"/>
      <c r="AF92" s="56">
        <v>53</v>
      </c>
      <c r="AG92" s="67"/>
      <c r="AH92" s="56"/>
      <c r="AI92" s="60"/>
      <c r="AJ92" s="95"/>
      <c r="AK92" s="9"/>
      <c r="AL92" s="81"/>
      <c r="AM92" s="81"/>
      <c r="AN92" s="81"/>
      <c r="AO92" s="81"/>
      <c r="AP92" s="81"/>
      <c r="AQ92" s="60"/>
      <c r="AR92" s="79"/>
      <c r="AS92" s="81"/>
      <c r="AT92" s="60"/>
      <c r="AU92" s="56"/>
      <c r="AV92" s="56"/>
      <c r="AW92" s="56"/>
      <c r="AX92" s="56"/>
      <c r="AY92" s="115"/>
      <c r="AZ92" s="115"/>
      <c r="BA92" s="100"/>
      <c r="BB92" s="216"/>
      <c r="BC92" s="102"/>
      <c r="BD92" s="102"/>
      <c r="BE92" s="216"/>
      <c r="BF92" s="102"/>
      <c r="BG92" s="172"/>
      <c r="BH92" s="215"/>
      <c r="BI92" s="172"/>
      <c r="BJ92" s="172"/>
      <c r="BK92" s="103"/>
      <c r="BL92" s="200"/>
      <c r="BM92" s="200"/>
      <c r="BN92" s="200"/>
      <c r="BO92" s="172"/>
      <c r="BP92" s="177"/>
      <c r="BQ92" s="103"/>
      <c r="BR92" s="104"/>
      <c r="BS92" s="104"/>
      <c r="BT92" s="104"/>
      <c r="BU92" s="170"/>
      <c r="BV92" s="268"/>
      <c r="BW92" s="268"/>
      <c r="BX92" s="169"/>
      <c r="BY92" s="268"/>
      <c r="BZ92" s="268"/>
      <c r="CA92" s="268"/>
      <c r="CB92" s="268" t="s">
        <v>177</v>
      </c>
      <c r="CC92" s="682"/>
      <c r="CD92" s="509"/>
      <c r="CE92" s="384">
        <v>43647</v>
      </c>
      <c r="CF92" s="377"/>
      <c r="CG92" s="494">
        <f t="shared" si="203"/>
        <v>1454.9</v>
      </c>
      <c r="CH92" s="262">
        <v>24</v>
      </c>
      <c r="CI92" s="262">
        <f t="shared" si="204"/>
        <v>25</v>
      </c>
      <c r="CJ92" s="257">
        <f t="shared" si="205"/>
        <v>24</v>
      </c>
      <c r="CK92" s="257">
        <f t="shared" si="206"/>
        <v>25</v>
      </c>
      <c r="CL92" s="257">
        <f t="shared" si="207"/>
        <v>0</v>
      </c>
      <c r="CM92" s="257">
        <f t="shared" si="208"/>
        <v>0</v>
      </c>
      <c r="CN92" s="263"/>
      <c r="CO92" s="263">
        <f t="shared" si="209"/>
        <v>0</v>
      </c>
      <c r="CP92" s="258"/>
      <c r="CQ92" s="699">
        <f t="shared" si="210"/>
        <v>44378</v>
      </c>
      <c r="CR92" s="391">
        <f>DATE(YEAR(CE92),MONTH(CE92)+CH92,DAY(CE92))</f>
        <v>44378</v>
      </c>
      <c r="CS92" s="388">
        <f>DATE(YEAR(CA92)+2,MONTH(CA92),DAY(CA92))</f>
        <v>731</v>
      </c>
      <c r="CT92" s="258"/>
      <c r="CU92" s="258"/>
      <c r="CV92" s="650">
        <f t="shared" si="212"/>
        <v>44409</v>
      </c>
      <c r="CW92" s="506">
        <f>CV92</f>
        <v>44409</v>
      </c>
      <c r="CX92" s="654"/>
      <c r="CY92" s="123"/>
      <c r="CZ92" s="127"/>
      <c r="DA92" s="127"/>
      <c r="DB92" s="127"/>
      <c r="DC92" s="127"/>
      <c r="DD92" s="127"/>
      <c r="DE92" s="56"/>
      <c r="DF92" s="56"/>
      <c r="DG92" s="56"/>
      <c r="DH92" s="56"/>
      <c r="DI92" s="56"/>
      <c r="DJ92" s="56"/>
      <c r="DK92" s="56"/>
      <c r="DL92" s="56"/>
      <c r="DM92" s="56"/>
      <c r="DN92" s="56"/>
      <c r="DO92" s="56"/>
      <c r="DP92" s="56"/>
      <c r="DQ92" s="56"/>
      <c r="DR92" s="56"/>
      <c r="DS92" s="610"/>
      <c r="DT92" s="613"/>
      <c r="DU92" s="613"/>
      <c r="DV92" s="615" t="str">
        <f t="shared" si="213"/>
        <v>0</v>
      </c>
      <c r="DW92" s="613"/>
      <c r="DX92" s="613"/>
      <c r="DY92" s="615" t="str">
        <f t="shared" si="214"/>
        <v>0</v>
      </c>
      <c r="DZ92" s="613"/>
      <c r="EA92" s="613"/>
      <c r="EB92" s="615" t="str">
        <f t="shared" si="215"/>
        <v>0</v>
      </c>
      <c r="EC92" s="613"/>
      <c r="ED92" s="613"/>
      <c r="EE92" s="615" t="str">
        <f t="shared" si="216"/>
        <v>0</v>
      </c>
      <c r="EF92" s="616"/>
      <c r="EG92" s="617"/>
      <c r="EH92" s="615" t="str">
        <f t="shared" si="217"/>
        <v>0</v>
      </c>
      <c r="EI92" s="618"/>
      <c r="EJ92" s="594"/>
      <c r="EK92" s="595"/>
      <c r="EL92" s="596" t="str">
        <f t="shared" si="218"/>
        <v>0</v>
      </c>
      <c r="EM92" s="594"/>
      <c r="EN92" s="595"/>
      <c r="EO92" s="596" t="str">
        <f t="shared" si="219"/>
        <v>0</v>
      </c>
      <c r="EP92" s="594"/>
      <c r="EQ92" s="595"/>
      <c r="ER92" s="596" t="str">
        <f t="shared" si="220"/>
        <v>0</v>
      </c>
      <c r="ES92" s="594"/>
      <c r="ET92" s="622"/>
      <c r="EU92" s="597" t="str">
        <f t="shared" si="221"/>
        <v>0</v>
      </c>
      <c r="EV92" s="598"/>
      <c r="EW92" s="599">
        <f ca="1">IF(EV92&lt;TODAY(),TODAY(),EV92)</f>
        <v>43163</v>
      </c>
      <c r="EX92" s="596" t="str">
        <f t="shared" ca="1" si="222"/>
        <v>0</v>
      </c>
      <c r="EY92" s="600"/>
      <c r="EZ92" s="600"/>
      <c r="FA92" s="596" t="str">
        <f t="shared" si="223"/>
        <v>0</v>
      </c>
      <c r="FB92" s="600"/>
      <c r="FC92" s="600"/>
      <c r="FD92" s="596" t="str">
        <f t="shared" si="224"/>
        <v>0</v>
      </c>
      <c r="FE92" s="600"/>
      <c r="FF92" s="600"/>
      <c r="FG92" s="596" t="str">
        <f t="shared" si="225"/>
        <v>0</v>
      </c>
      <c r="FH92" s="600"/>
      <c r="FI92" s="600"/>
      <c r="FJ92" s="596" t="str">
        <f t="shared" si="226"/>
        <v>0</v>
      </c>
      <c r="FK92" s="600"/>
      <c r="FL92" s="600"/>
      <c r="FM92" s="600"/>
      <c r="FN92" s="600"/>
      <c r="FO92" s="600">
        <f t="shared" si="227"/>
        <v>44378</v>
      </c>
      <c r="FP92" s="598">
        <f t="shared" si="228"/>
        <v>0</v>
      </c>
      <c r="FQ92" s="600"/>
      <c r="FR92" s="600">
        <f t="shared" si="229"/>
        <v>44409</v>
      </c>
      <c r="FS92" s="627"/>
      <c r="FT92" s="627"/>
      <c r="FU92" s="627"/>
      <c r="FV92" s="627"/>
      <c r="FW92" s="628">
        <f t="shared" si="230"/>
        <v>0</v>
      </c>
      <c r="FX92" s="628">
        <f t="shared" si="231"/>
        <v>1480.3</v>
      </c>
      <c r="FY92" s="624"/>
      <c r="FZ92" s="641"/>
      <c r="GA92" s="624"/>
      <c r="GB92" s="624"/>
      <c r="GC92" s="118"/>
      <c r="GD92" s="118"/>
      <c r="GE92" s="426">
        <f t="shared" si="189"/>
        <v>0</v>
      </c>
      <c r="GF92" s="426">
        <f t="shared" si="232"/>
        <v>0</v>
      </c>
      <c r="GG92" s="426">
        <f t="shared" si="233"/>
        <v>0</v>
      </c>
      <c r="GH92" s="426" t="e">
        <f t="shared" si="234"/>
        <v>#DIV/0!</v>
      </c>
      <c r="GI92" s="426">
        <f t="shared" si="244"/>
        <v>0</v>
      </c>
      <c r="GJ92" s="426"/>
      <c r="GK92" s="426"/>
      <c r="GL92" s="426">
        <f t="shared" si="235"/>
        <v>0</v>
      </c>
      <c r="GM92" s="112" t="e">
        <f t="shared" si="236"/>
        <v>#DIV/0!</v>
      </c>
      <c r="GN92" s="112">
        <v>0.4</v>
      </c>
      <c r="GO92" s="426"/>
      <c r="GP92" s="426"/>
      <c r="GQ92" s="426">
        <f t="shared" si="245"/>
        <v>0</v>
      </c>
      <c r="GR92" s="426"/>
      <c r="GS92" s="426"/>
      <c r="GT92" s="426">
        <f t="shared" si="243"/>
        <v>0</v>
      </c>
      <c r="GU92" s="426"/>
      <c r="GV92" s="426"/>
      <c r="GW92" s="426">
        <f t="shared" si="237"/>
        <v>0</v>
      </c>
      <c r="GX92" s="426">
        <f t="shared" si="246"/>
        <v>0</v>
      </c>
      <c r="GY92" s="426"/>
      <c r="GZ92" s="426"/>
      <c r="HA92" s="426"/>
      <c r="HB92" s="426"/>
      <c r="HC92" s="433" t="e">
        <f t="shared" si="238"/>
        <v>#DIV/0!</v>
      </c>
      <c r="HD92" s="433"/>
      <c r="HE92" s="426"/>
      <c r="HF92" s="426">
        <f t="shared" si="239"/>
        <v>0</v>
      </c>
      <c r="HG92" s="426">
        <f t="shared" si="247"/>
        <v>0</v>
      </c>
      <c r="HH92" s="429">
        <f t="shared" si="248"/>
        <v>0</v>
      </c>
      <c r="HI92" s="426">
        <f t="shared" si="249"/>
        <v>0</v>
      </c>
      <c r="HJ92" s="430">
        <v>6.31</v>
      </c>
      <c r="HK92" s="430"/>
      <c r="HL92" s="426"/>
      <c r="HM92" s="426"/>
      <c r="HN92" s="426">
        <f t="shared" si="250"/>
        <v>0</v>
      </c>
      <c r="HO92" s="426"/>
      <c r="HP92" s="426">
        <f t="shared" si="251"/>
        <v>0</v>
      </c>
      <c r="HQ92" s="112" t="e">
        <f t="shared" si="240"/>
        <v>#DIV/0!</v>
      </c>
      <c r="HR92" s="426"/>
      <c r="HS92" s="426"/>
      <c r="HT92" s="426"/>
      <c r="HU92" s="434">
        <f t="shared" si="241"/>
        <v>0</v>
      </c>
      <c r="HV92" s="296">
        <v>325108</v>
      </c>
      <c r="HW92" s="296">
        <f t="shared" si="242"/>
        <v>32511</v>
      </c>
      <c r="HX92" s="344">
        <v>43026</v>
      </c>
      <c r="HY92" s="342">
        <v>32511</v>
      </c>
      <c r="HZ92" s="63"/>
      <c r="IA92" s="281"/>
      <c r="IB92" s="281"/>
      <c r="IC92" s="424"/>
      <c r="ID92" s="281"/>
      <c r="IE92" s="62"/>
      <c r="IF92" s="281"/>
      <c r="IG92" s="62"/>
      <c r="IH92" s="56"/>
      <c r="II92" s="425"/>
      <c r="IJ92" s="89"/>
      <c r="IK92" s="89"/>
      <c r="IL92" s="127"/>
      <c r="IM92" s="62"/>
      <c r="IN92" s="127"/>
      <c r="IO92" s="62"/>
      <c r="IP92" s="56"/>
      <c r="IQ92" s="56"/>
      <c r="IR92" s="56"/>
      <c r="IS92" s="56"/>
      <c r="IT92" s="289"/>
      <c r="IU92" s="289"/>
      <c r="IV92" s="289"/>
      <c r="IW92" s="289"/>
      <c r="IX92" s="289"/>
      <c r="IY92" s="289"/>
      <c r="IZ92" s="300"/>
      <c r="JA92" s="123"/>
      <c r="JB92" s="298"/>
      <c r="JC92" s="123"/>
      <c r="JD92" s="123"/>
      <c r="JE92" s="298"/>
    </row>
    <row r="93" spans="1:265" ht="24.95" customHeight="1">
      <c r="A93" s="89" t="s">
        <v>653</v>
      </c>
      <c r="B93" s="56" t="s">
        <v>31</v>
      </c>
      <c r="C93" s="56" t="s">
        <v>117</v>
      </c>
      <c r="D93" s="56">
        <v>2019</v>
      </c>
      <c r="E93" s="56" t="s">
        <v>668</v>
      </c>
      <c r="F93" s="56" t="s">
        <v>151</v>
      </c>
      <c r="G93" s="56"/>
      <c r="H93" s="56" t="s">
        <v>253</v>
      </c>
      <c r="I93" s="56"/>
      <c r="J93" s="58" t="s">
        <v>654</v>
      </c>
      <c r="K93" s="275" t="s">
        <v>669</v>
      </c>
      <c r="L93" s="178"/>
      <c r="M93" s="179"/>
      <c r="N93" s="180"/>
      <c r="O93" s="219">
        <v>4233</v>
      </c>
      <c r="P93" s="219">
        <v>326183.14657415438</v>
      </c>
      <c r="Q93" s="219"/>
      <c r="R93" s="219">
        <f>P93/AD93</f>
        <v>17167.534030218652</v>
      </c>
      <c r="S93" s="219">
        <f>P93/O93</f>
        <v>77.05720448243666</v>
      </c>
      <c r="T93" s="225">
        <f>Q93/O93</f>
        <v>0</v>
      </c>
      <c r="U93" s="225" t="e">
        <f>Q93/AJ93</f>
        <v>#DIV/0!</v>
      </c>
      <c r="V93" s="225">
        <f>Q93/AD93</f>
        <v>0</v>
      </c>
      <c r="W93" s="219">
        <f>O93/AD93</f>
        <v>222.78947368421052</v>
      </c>
      <c r="X93" s="220"/>
      <c r="Y93" s="221">
        <f>AJ93/O93</f>
        <v>0</v>
      </c>
      <c r="Z93" s="220" t="s">
        <v>215</v>
      </c>
      <c r="AA93" s="220">
        <v>60</v>
      </c>
      <c r="AB93" s="221"/>
      <c r="AC93" s="56" t="s">
        <v>16</v>
      </c>
      <c r="AD93" s="345">
        <f t="shared" si="202"/>
        <v>19</v>
      </c>
      <c r="AE93" s="67"/>
      <c r="AF93" s="56">
        <v>19</v>
      </c>
      <c r="AG93" s="56"/>
      <c r="AH93" s="56"/>
      <c r="AI93" s="60"/>
      <c r="AJ93" s="95"/>
      <c r="AK93" s="60">
        <f>AJ93/AD93</f>
        <v>0</v>
      </c>
      <c r="AL93" s="81"/>
      <c r="AM93" s="81"/>
      <c r="AN93" s="81"/>
      <c r="AO93" s="81"/>
      <c r="AP93" s="81"/>
      <c r="AQ93" s="60"/>
      <c r="AR93" s="79"/>
      <c r="AS93" s="81"/>
      <c r="AT93" s="60"/>
      <c r="AU93" s="59" t="s">
        <v>621</v>
      </c>
      <c r="AV93" s="56"/>
      <c r="AW93" s="252"/>
      <c r="AX93" s="56"/>
      <c r="AY93" s="115"/>
      <c r="AZ93" s="115"/>
      <c r="BA93" s="100"/>
      <c r="BB93" s="216"/>
      <c r="BC93" s="102"/>
      <c r="BD93" s="102"/>
      <c r="BE93" s="216"/>
      <c r="BF93" s="102"/>
      <c r="BG93" s="172"/>
      <c r="BH93" s="215"/>
      <c r="BI93" s="172"/>
      <c r="BJ93" s="172"/>
      <c r="BK93" s="103"/>
      <c r="BL93" s="200">
        <f>DATE(YEAR(BK93),MONTH(BK93)+24,DAY(BK93))</f>
        <v>731</v>
      </c>
      <c r="BM93" s="200">
        <f>DATE(YEAR(BK93),MONTH(BK93)+36,DAY(BK93))</f>
        <v>1096</v>
      </c>
      <c r="BN93" s="200"/>
      <c r="BO93" s="172"/>
      <c r="BP93" s="177"/>
      <c r="BQ93" s="103"/>
      <c r="BR93" s="104"/>
      <c r="BS93" s="104"/>
      <c r="BT93" s="104"/>
      <c r="BU93" s="170"/>
      <c r="BV93" s="268"/>
      <c r="BW93" s="268"/>
      <c r="BX93" s="169"/>
      <c r="BY93" s="268"/>
      <c r="BZ93" s="268"/>
      <c r="CA93" s="268"/>
      <c r="CB93" s="268" t="s">
        <v>177</v>
      </c>
      <c r="CC93" s="682"/>
      <c r="CD93" s="509"/>
      <c r="CE93" s="384">
        <v>44013</v>
      </c>
      <c r="CF93" s="377"/>
      <c r="CG93" s="494">
        <f t="shared" si="203"/>
        <v>1467.1</v>
      </c>
      <c r="CH93" s="262">
        <v>14</v>
      </c>
      <c r="CI93" s="262">
        <f t="shared" si="204"/>
        <v>15</v>
      </c>
      <c r="CJ93" s="257">
        <f t="shared" si="205"/>
        <v>14</v>
      </c>
      <c r="CK93" s="257">
        <f t="shared" si="206"/>
        <v>15</v>
      </c>
      <c r="CL93" s="257">
        <f t="shared" si="207"/>
        <v>0</v>
      </c>
      <c r="CM93" s="257">
        <f t="shared" si="208"/>
        <v>0</v>
      </c>
      <c r="CN93" s="263"/>
      <c r="CO93" s="263">
        <f t="shared" si="209"/>
        <v>0</v>
      </c>
      <c r="CP93" s="258"/>
      <c r="CQ93" s="699">
        <f t="shared" si="210"/>
        <v>44440</v>
      </c>
      <c r="CR93" s="391">
        <f>DATE(YEAR(CE93),MONTH(CE93)+CH93,DAY(CE93))</f>
        <v>44440</v>
      </c>
      <c r="CS93" s="388">
        <f>DATE(YEAR(CA93)+2,MONTH(CA93),DAY(CA93))</f>
        <v>731</v>
      </c>
      <c r="CT93" s="258"/>
      <c r="CU93" s="258"/>
      <c r="CV93" s="650">
        <f t="shared" si="212"/>
        <v>44470</v>
      </c>
      <c r="CW93" s="506">
        <f>CV93</f>
        <v>44470</v>
      </c>
      <c r="CX93" s="654"/>
      <c r="CY93" s="123"/>
      <c r="CZ93" s="127"/>
      <c r="DA93" s="127"/>
      <c r="DB93" s="127"/>
      <c r="DC93" s="127"/>
      <c r="DD93" s="127"/>
      <c r="DE93" s="56"/>
      <c r="DF93" s="56"/>
      <c r="DG93" s="56"/>
      <c r="DH93" s="56"/>
      <c r="DI93" s="56"/>
      <c r="DJ93" s="56"/>
      <c r="DK93" s="56"/>
      <c r="DL93" s="56"/>
      <c r="DM93" s="56"/>
      <c r="DN93" s="56"/>
      <c r="DO93" s="56"/>
      <c r="DP93" s="56"/>
      <c r="DQ93" s="56"/>
      <c r="DR93" s="56"/>
      <c r="DS93" s="610"/>
      <c r="DT93" s="613"/>
      <c r="DU93" s="613"/>
      <c r="DV93" s="615" t="str">
        <f t="shared" si="213"/>
        <v>0</v>
      </c>
      <c r="DW93" s="613"/>
      <c r="DX93" s="613"/>
      <c r="DY93" s="615" t="str">
        <f t="shared" si="214"/>
        <v>0</v>
      </c>
      <c r="DZ93" s="613"/>
      <c r="EA93" s="613"/>
      <c r="EB93" s="615" t="str">
        <f t="shared" si="215"/>
        <v>0</v>
      </c>
      <c r="EC93" s="613"/>
      <c r="ED93" s="613"/>
      <c r="EE93" s="615" t="str">
        <f t="shared" si="216"/>
        <v>0</v>
      </c>
      <c r="EF93" s="616"/>
      <c r="EG93" s="617"/>
      <c r="EH93" s="615" t="str">
        <f t="shared" si="217"/>
        <v>0</v>
      </c>
      <c r="EI93" s="618"/>
      <c r="EJ93" s="594"/>
      <c r="EK93" s="595"/>
      <c r="EL93" s="596" t="str">
        <f t="shared" si="218"/>
        <v>0</v>
      </c>
      <c r="EM93" s="594"/>
      <c r="EN93" s="595"/>
      <c r="EO93" s="596" t="str">
        <f t="shared" si="219"/>
        <v>0</v>
      </c>
      <c r="EP93" s="594"/>
      <c r="EQ93" s="595"/>
      <c r="ER93" s="596" t="str">
        <f t="shared" si="220"/>
        <v>0</v>
      </c>
      <c r="ES93" s="594"/>
      <c r="ET93" s="622"/>
      <c r="EU93" s="597" t="str">
        <f t="shared" si="221"/>
        <v>0</v>
      </c>
      <c r="EV93" s="598"/>
      <c r="EW93" s="599"/>
      <c r="EX93" s="596" t="str">
        <f t="shared" si="222"/>
        <v>0</v>
      </c>
      <c r="EY93" s="595"/>
      <c r="EZ93" s="600"/>
      <c r="FA93" s="596" t="str">
        <f t="shared" si="223"/>
        <v>0</v>
      </c>
      <c r="FB93" s="602"/>
      <c r="FC93" s="602"/>
      <c r="FD93" s="596" t="str">
        <f t="shared" si="224"/>
        <v>0</v>
      </c>
      <c r="FE93" s="602"/>
      <c r="FF93" s="602"/>
      <c r="FG93" s="596" t="str">
        <f t="shared" si="225"/>
        <v>0</v>
      </c>
      <c r="FH93" s="600"/>
      <c r="FI93" s="600"/>
      <c r="FJ93" s="596" t="str">
        <f t="shared" si="226"/>
        <v>0</v>
      </c>
      <c r="FK93" s="602"/>
      <c r="FL93" s="602"/>
      <c r="FM93" s="602"/>
      <c r="FN93" s="602"/>
      <c r="FO93" s="600">
        <f t="shared" si="227"/>
        <v>44440</v>
      </c>
      <c r="FP93" s="598">
        <f t="shared" si="228"/>
        <v>0</v>
      </c>
      <c r="FQ93" s="602"/>
      <c r="FR93" s="600">
        <f t="shared" si="229"/>
        <v>44470</v>
      </c>
      <c r="FS93" s="627"/>
      <c r="FT93" s="627"/>
      <c r="FU93" s="627"/>
      <c r="FV93" s="627"/>
      <c r="FW93" s="628">
        <f t="shared" si="230"/>
        <v>0</v>
      </c>
      <c r="FX93" s="628">
        <f t="shared" si="231"/>
        <v>1482.3333333333333</v>
      </c>
      <c r="FY93" s="624"/>
      <c r="FZ93" s="641"/>
      <c r="GA93" s="624"/>
      <c r="GB93" s="624"/>
      <c r="GC93" s="118"/>
      <c r="GD93" s="118"/>
      <c r="GE93" s="96">
        <f t="shared" si="189"/>
        <v>0</v>
      </c>
      <c r="GF93" s="70">
        <f t="shared" si="232"/>
        <v>0</v>
      </c>
      <c r="GG93" s="97">
        <f t="shared" si="233"/>
        <v>0</v>
      </c>
      <c r="GH93" s="52" t="e">
        <f t="shared" si="234"/>
        <v>#DIV/0!</v>
      </c>
      <c r="GI93" s="52">
        <f t="shared" si="244"/>
        <v>0</v>
      </c>
      <c r="GJ93" s="96"/>
      <c r="GK93" s="70"/>
      <c r="GL93" s="97">
        <f t="shared" si="235"/>
        <v>0</v>
      </c>
      <c r="GM93" s="138" t="e">
        <f t="shared" si="236"/>
        <v>#DIV/0!</v>
      </c>
      <c r="GN93" s="139">
        <v>0.4</v>
      </c>
      <c r="GO93" s="96"/>
      <c r="GP93" s="70"/>
      <c r="GQ93" s="52">
        <f t="shared" si="245"/>
        <v>0</v>
      </c>
      <c r="GR93" s="98"/>
      <c r="GS93" s="96"/>
      <c r="GT93" s="70">
        <f t="shared" si="243"/>
        <v>0</v>
      </c>
      <c r="GU93" s="90"/>
      <c r="GV93" s="90"/>
      <c r="GW93" s="98">
        <f t="shared" si="237"/>
        <v>0</v>
      </c>
      <c r="GX93" s="52">
        <f t="shared" si="246"/>
        <v>0</v>
      </c>
      <c r="GY93" s="70"/>
      <c r="GZ93" s="96"/>
      <c r="HA93" s="70"/>
      <c r="HB93" s="70"/>
      <c r="HC93" s="91" t="e">
        <f t="shared" si="238"/>
        <v>#DIV/0!</v>
      </c>
      <c r="HD93" s="329"/>
      <c r="HE93" s="70"/>
      <c r="HF93" s="92">
        <f t="shared" si="239"/>
        <v>0</v>
      </c>
      <c r="HG93" s="52">
        <f t="shared" si="247"/>
        <v>0</v>
      </c>
      <c r="HH93" s="84">
        <f t="shared" si="248"/>
        <v>0</v>
      </c>
      <c r="HI93" s="92">
        <f t="shared" si="249"/>
        <v>0</v>
      </c>
      <c r="HJ93" s="93">
        <v>6.31</v>
      </c>
      <c r="HK93" s="93"/>
      <c r="HL93" s="94"/>
      <c r="HM93" s="94"/>
      <c r="HN93" s="52">
        <f t="shared" si="250"/>
        <v>0</v>
      </c>
      <c r="HO93" s="94"/>
      <c r="HP93" s="52">
        <f t="shared" si="251"/>
        <v>0</v>
      </c>
      <c r="HQ93" s="53" t="e">
        <f t="shared" si="240"/>
        <v>#DIV/0!</v>
      </c>
      <c r="HR93" s="94"/>
      <c r="HS93" s="94"/>
      <c r="HT93" s="70"/>
      <c r="HU93" s="99">
        <f t="shared" si="241"/>
        <v>0</v>
      </c>
      <c r="HV93" s="296">
        <v>179535</v>
      </c>
      <c r="HW93" s="296">
        <f t="shared" si="242"/>
        <v>62837.75</v>
      </c>
      <c r="HX93" s="255">
        <v>42877</v>
      </c>
      <c r="HY93" s="356">
        <v>17954</v>
      </c>
      <c r="HZ93" s="356"/>
      <c r="IA93" s="255"/>
      <c r="IB93" s="255"/>
      <c r="IC93" s="424">
        <v>8976.75</v>
      </c>
      <c r="ID93" s="281"/>
      <c r="IE93" s="293">
        <v>17953.5</v>
      </c>
      <c r="IF93" s="281"/>
      <c r="IG93" s="523">
        <v>17953.5</v>
      </c>
      <c r="IH93" s="298"/>
      <c r="II93" s="303">
        <v>0</v>
      </c>
      <c r="IJ93" s="301"/>
      <c r="IK93" s="301"/>
      <c r="IL93" s="295"/>
      <c r="IM93" s="296"/>
      <c r="IN93" s="295"/>
      <c r="IO93" s="296"/>
      <c r="IP93" s="326"/>
      <c r="IQ93" s="326"/>
      <c r="IR93" s="326"/>
      <c r="IS93" s="326"/>
      <c r="IT93" s="289"/>
      <c r="IU93" s="289"/>
      <c r="IV93" s="289"/>
      <c r="IW93" s="289"/>
      <c r="IX93" s="289"/>
      <c r="IY93" s="289"/>
      <c r="IZ93" s="300" t="e">
        <f>$IZ$1*HV93</f>
        <v>#VALUE!</v>
      </c>
      <c r="JA93" s="123"/>
      <c r="JB93" s="298"/>
      <c r="JC93" s="123"/>
      <c r="JD93" s="123"/>
      <c r="JE93" s="298"/>
    </row>
    <row r="94" spans="1:265" ht="24.95" customHeight="1">
      <c r="A94" s="507" t="s">
        <v>505</v>
      </c>
      <c r="B94" s="56" t="s">
        <v>35</v>
      </c>
      <c r="C94" s="56" t="s">
        <v>117</v>
      </c>
      <c r="D94" s="56">
        <v>2018</v>
      </c>
      <c r="E94" s="56"/>
      <c r="F94" s="56" t="s">
        <v>488</v>
      </c>
      <c r="G94" s="56" t="s">
        <v>189</v>
      </c>
      <c r="H94" s="56" t="s">
        <v>455</v>
      </c>
      <c r="I94" s="56"/>
      <c r="J94" s="56" t="s">
        <v>510</v>
      </c>
      <c r="K94" s="275" t="s">
        <v>525</v>
      </c>
      <c r="L94" s="178" t="s">
        <v>64</v>
      </c>
      <c r="M94" s="179" t="s">
        <v>524</v>
      </c>
      <c r="N94" s="180">
        <v>34912</v>
      </c>
      <c r="O94" s="245"/>
      <c r="P94" s="245"/>
      <c r="Q94" s="245"/>
      <c r="R94" s="245"/>
      <c r="S94" s="245"/>
      <c r="T94" s="719"/>
      <c r="U94" s="719"/>
      <c r="V94" s="719"/>
      <c r="W94" s="245"/>
      <c r="X94" s="220"/>
      <c r="Y94" s="221"/>
      <c r="Z94" s="220"/>
      <c r="AA94" s="220"/>
      <c r="AB94" s="221"/>
      <c r="AC94" s="56" t="s">
        <v>487</v>
      </c>
      <c r="AD94" s="345">
        <f t="shared" si="202"/>
        <v>128</v>
      </c>
      <c r="AE94" s="67"/>
      <c r="AF94" s="120"/>
      <c r="AG94" s="120"/>
      <c r="AH94" s="205">
        <v>128</v>
      </c>
      <c r="AI94" s="60"/>
      <c r="AJ94" s="95"/>
      <c r="AK94" s="60"/>
      <c r="AL94" s="81"/>
      <c r="AM94" s="81"/>
      <c r="AN94" s="81"/>
      <c r="AO94" s="81"/>
      <c r="AP94" s="81"/>
      <c r="AQ94" s="60"/>
      <c r="AR94" s="79"/>
      <c r="AS94" s="81"/>
      <c r="AT94" s="60"/>
      <c r="AU94" s="56"/>
      <c r="AV94" s="56"/>
      <c r="AW94" s="56"/>
      <c r="AX94" s="56"/>
      <c r="AY94" s="115"/>
      <c r="AZ94" s="115"/>
      <c r="BA94" s="100"/>
      <c r="BB94" s="216"/>
      <c r="BC94" s="102"/>
      <c r="BD94" s="102"/>
      <c r="BE94" s="216"/>
      <c r="BF94" s="102"/>
      <c r="BG94" s="172"/>
      <c r="BH94" s="215"/>
      <c r="BI94" s="172"/>
      <c r="BJ94" s="172"/>
      <c r="BK94" s="103"/>
      <c r="BL94" s="200">
        <f>DATE(YEAR(BK94),MONTH(BK94)+24,DAY(BK94))</f>
        <v>731</v>
      </c>
      <c r="BM94" s="200">
        <f>DATE(YEAR(BK94),MONTH(BK94)+36,DAY(BK94))</f>
        <v>1096</v>
      </c>
      <c r="BN94" s="200"/>
      <c r="BO94" s="172"/>
      <c r="BP94" s="177"/>
      <c r="BQ94" s="103"/>
      <c r="BR94" s="104"/>
      <c r="BS94" s="104"/>
      <c r="BT94" s="104"/>
      <c r="BU94" s="170"/>
      <c r="BV94" s="268"/>
      <c r="BW94" s="268"/>
      <c r="BX94" s="169"/>
      <c r="BY94" s="268"/>
      <c r="BZ94" s="268"/>
      <c r="CA94" s="268"/>
      <c r="CB94" s="450"/>
      <c r="CC94" s="450"/>
      <c r="CD94" s="509"/>
      <c r="CE94" s="384">
        <v>43480</v>
      </c>
      <c r="CF94" s="377"/>
      <c r="CG94" s="494">
        <f t="shared" si="203"/>
        <v>1449.3333333333333</v>
      </c>
      <c r="CH94" s="262">
        <v>12</v>
      </c>
      <c r="CI94" s="262">
        <f t="shared" si="204"/>
        <v>13</v>
      </c>
      <c r="CJ94" s="257">
        <f t="shared" si="205"/>
        <v>13</v>
      </c>
      <c r="CK94" s="257">
        <f t="shared" si="206"/>
        <v>15</v>
      </c>
      <c r="CL94" s="257">
        <f t="shared" si="207"/>
        <v>1</v>
      </c>
      <c r="CM94" s="257">
        <f t="shared" si="208"/>
        <v>2</v>
      </c>
      <c r="CN94" s="263"/>
      <c r="CO94" s="263">
        <f t="shared" si="209"/>
        <v>0</v>
      </c>
      <c r="CP94" s="258"/>
      <c r="CQ94" s="699">
        <f t="shared" si="210"/>
        <v>43845</v>
      </c>
      <c r="CR94" s="391">
        <f>DATE(YEAR(CE94),MONTH(CE94)+CH94+1,DAY(CE94))</f>
        <v>43876</v>
      </c>
      <c r="CS94" s="388"/>
      <c r="CT94" s="258"/>
      <c r="CU94" s="258"/>
      <c r="CV94" s="650">
        <f t="shared" si="212"/>
        <v>43905</v>
      </c>
      <c r="CW94" s="506">
        <f>DATE(YEAR(CV94),MONTH(CV94)+1,DAY(CV94))</f>
        <v>43936</v>
      </c>
      <c r="CX94" s="654"/>
      <c r="CY94" s="123"/>
      <c r="CZ94" s="127"/>
      <c r="DA94" s="127"/>
      <c r="DB94" s="127"/>
      <c r="DC94" s="127"/>
      <c r="DD94" s="127"/>
      <c r="DE94" s="56"/>
      <c r="DF94" s="56"/>
      <c r="DG94" s="56"/>
      <c r="DH94" s="56"/>
      <c r="DI94" s="56"/>
      <c r="DJ94" s="56"/>
      <c r="DK94" s="56"/>
      <c r="DL94" s="56"/>
      <c r="DM94" s="56"/>
      <c r="DN94" s="56"/>
      <c r="DO94" s="56"/>
      <c r="DP94" s="56"/>
      <c r="DQ94" s="56"/>
      <c r="DR94" s="56"/>
      <c r="DS94" s="610">
        <v>42935</v>
      </c>
      <c r="DT94" s="611"/>
      <c r="DU94" s="611"/>
      <c r="DV94" s="615" t="str">
        <f t="shared" si="213"/>
        <v>0</v>
      </c>
      <c r="DW94" s="613">
        <v>43038</v>
      </c>
      <c r="DX94" s="613">
        <f ca="1">IF(DW94&lt;TODAY(),TODAY(),DW94)</f>
        <v>43163</v>
      </c>
      <c r="DY94" s="615">
        <f t="shared" ca="1" si="214"/>
        <v>125</v>
      </c>
      <c r="DZ94" s="613">
        <v>43017</v>
      </c>
      <c r="EA94" s="610">
        <f ca="1">IF(DZ94&lt;TODAY(),TODAY(),DZ94)</f>
        <v>43163</v>
      </c>
      <c r="EB94" s="615">
        <f t="shared" ca="1" si="215"/>
        <v>146</v>
      </c>
      <c r="EC94" s="613">
        <v>43098</v>
      </c>
      <c r="ED94" s="610">
        <f ca="1">IF(EC94&lt;TODAY(),TODAY(),EC94)</f>
        <v>43163</v>
      </c>
      <c r="EE94" s="615">
        <f t="shared" ca="1" si="216"/>
        <v>65</v>
      </c>
      <c r="EF94" s="613">
        <v>43158</v>
      </c>
      <c r="EG94" s="613">
        <f ca="1">IF(EF94&lt;TODAY(),TODAY(),EF94)</f>
        <v>43163</v>
      </c>
      <c r="EH94" s="615">
        <f t="shared" ca="1" si="217"/>
        <v>5</v>
      </c>
      <c r="EI94" s="618"/>
      <c r="EJ94" s="594">
        <v>43602</v>
      </c>
      <c r="EK94" s="600">
        <f ca="1">IF(EJ94&lt;TODAY(),TODAY(),EJ94)</f>
        <v>43602</v>
      </c>
      <c r="EL94" s="596">
        <f t="shared" ca="1" si="218"/>
        <v>0</v>
      </c>
      <c r="EM94" s="594">
        <v>43616</v>
      </c>
      <c r="EN94" s="600">
        <f ca="1">IF(EM94&lt;TODAY(),TODAY(),EM94)</f>
        <v>43616</v>
      </c>
      <c r="EO94" s="596">
        <f t="shared" ca="1" si="219"/>
        <v>0</v>
      </c>
      <c r="EP94" s="594"/>
      <c r="EQ94" s="600">
        <f ca="1">IF(EP94&lt;TODAY(),TODAY(),EP94)</f>
        <v>43163</v>
      </c>
      <c r="ER94" s="596" t="str">
        <f t="shared" ca="1" si="220"/>
        <v>0</v>
      </c>
      <c r="ES94" s="594"/>
      <c r="ET94" s="622">
        <f ca="1">IF(ES94&lt;TODAY(),TODAY(),ES94)</f>
        <v>43163</v>
      </c>
      <c r="EU94" s="597" t="str">
        <f t="shared" ca="1" si="221"/>
        <v>0</v>
      </c>
      <c r="EV94" s="598"/>
      <c r="EW94" s="600">
        <f ca="1">IF(EV94&lt;TODAY(),TODAY(),EV94)</f>
        <v>43163</v>
      </c>
      <c r="EX94" s="596" t="str">
        <f t="shared" ca="1" si="222"/>
        <v>0</v>
      </c>
      <c r="EY94" s="595"/>
      <c r="EZ94" s="600">
        <f ca="1">IF(EY94&lt;TODAY(),TODAY(),EY94)</f>
        <v>43163</v>
      </c>
      <c r="FA94" s="596" t="str">
        <f t="shared" ca="1" si="223"/>
        <v>0</v>
      </c>
      <c r="FB94" s="602"/>
      <c r="FC94" s="600">
        <f ca="1">IF(FB94&lt;TODAY(),TODAY(),FB94)</f>
        <v>43163</v>
      </c>
      <c r="FD94" s="596" t="str">
        <f t="shared" ca="1" si="224"/>
        <v>0</v>
      </c>
      <c r="FE94" s="602"/>
      <c r="FF94" s="600">
        <f ca="1">IF(FE94&lt;TODAY(),TODAY(),FE94)</f>
        <v>43163</v>
      </c>
      <c r="FG94" s="596" t="str">
        <f t="shared" ca="1" si="225"/>
        <v>0</v>
      </c>
      <c r="FH94" s="602"/>
      <c r="FI94" s="600">
        <f ca="1">IF(FH94&lt;TODAY(),TODAY(),FH94)</f>
        <v>43163</v>
      </c>
      <c r="FJ94" s="596" t="str">
        <f t="shared" ca="1" si="226"/>
        <v>0</v>
      </c>
      <c r="FK94" s="602"/>
      <c r="FL94" s="602"/>
      <c r="FM94" s="602"/>
      <c r="FN94" s="600">
        <v>43850</v>
      </c>
      <c r="FO94" s="600">
        <f t="shared" si="227"/>
        <v>43876</v>
      </c>
      <c r="FP94" s="598">
        <f t="shared" ca="1" si="228"/>
        <v>7.8</v>
      </c>
      <c r="FQ94" s="600">
        <v>44378</v>
      </c>
      <c r="FR94" s="600">
        <f t="shared" si="229"/>
        <v>43936</v>
      </c>
      <c r="FS94" s="627">
        <v>0</v>
      </c>
      <c r="FT94" s="627">
        <v>0</v>
      </c>
      <c r="FU94" s="627"/>
      <c r="FV94" s="627"/>
      <c r="FW94" s="628">
        <f t="shared" ca="1" si="230"/>
        <v>11.366666666666667</v>
      </c>
      <c r="FX94" s="628">
        <f t="shared" si="231"/>
        <v>-14.733333333333333</v>
      </c>
      <c r="FY94" s="624"/>
      <c r="FZ94" s="641"/>
      <c r="GA94" s="624" t="s">
        <v>837</v>
      </c>
      <c r="GB94" s="624"/>
      <c r="GC94" s="118"/>
      <c r="GD94" s="118"/>
      <c r="GE94" s="96">
        <f>+GO94+GS94+GZ94+HT94+HE94+HD94</f>
        <v>3625157</v>
      </c>
      <c r="GF94" s="96">
        <f>GP94+GT94+GY94+HA94+HE94</f>
        <v>0</v>
      </c>
      <c r="GG94" s="96">
        <f t="shared" si="233"/>
        <v>-3625157</v>
      </c>
      <c r="GH94" s="96" t="e">
        <f t="shared" si="234"/>
        <v>#DIV/0!</v>
      </c>
      <c r="GI94" s="329">
        <f t="shared" si="244"/>
        <v>28321.5390625</v>
      </c>
      <c r="GJ94" s="96"/>
      <c r="GK94" s="96"/>
      <c r="GL94" s="96">
        <f t="shared" si="235"/>
        <v>0</v>
      </c>
      <c r="GM94" s="96" t="e">
        <f t="shared" si="236"/>
        <v>#DIV/0!</v>
      </c>
      <c r="GN94" s="329">
        <v>0.4</v>
      </c>
      <c r="GO94" s="96"/>
      <c r="GP94" s="96"/>
      <c r="GQ94" s="96">
        <f t="shared" si="245"/>
        <v>0</v>
      </c>
      <c r="GR94" s="96"/>
      <c r="GS94" s="692">
        <f>2825157-HD94</f>
        <v>2559532</v>
      </c>
      <c r="GT94" s="96">
        <f t="shared" si="243"/>
        <v>0</v>
      </c>
      <c r="GU94" s="96"/>
      <c r="GV94" s="96"/>
      <c r="GW94" s="96">
        <f t="shared" si="237"/>
        <v>-2559532</v>
      </c>
      <c r="GX94" s="329">
        <f t="shared" si="246"/>
        <v>19996.34375</v>
      </c>
      <c r="GY94" s="96"/>
      <c r="GZ94" s="96">
        <v>800000</v>
      </c>
      <c r="HA94" s="96"/>
      <c r="HB94" s="96"/>
      <c r="HC94" s="329">
        <f t="shared" si="238"/>
        <v>0.22068009744129702</v>
      </c>
      <c r="HD94" s="96">
        <v>265625</v>
      </c>
      <c r="HE94" s="70"/>
      <c r="HF94" s="92">
        <f t="shared" si="239"/>
        <v>-800000</v>
      </c>
      <c r="HG94" s="52">
        <f t="shared" si="247"/>
        <v>6250</v>
      </c>
      <c r="HH94" s="84">
        <f t="shared" si="248"/>
        <v>6250</v>
      </c>
      <c r="HI94" s="426">
        <f t="shared" si="249"/>
        <v>-6250</v>
      </c>
      <c r="HJ94" s="430">
        <v>6.31</v>
      </c>
      <c r="HK94" s="430"/>
      <c r="HL94" s="426"/>
      <c r="HM94" s="426"/>
      <c r="HN94" s="426">
        <f t="shared" si="250"/>
        <v>6250</v>
      </c>
      <c r="HO94" s="426"/>
      <c r="HP94" s="426">
        <f t="shared" si="251"/>
        <v>0</v>
      </c>
      <c r="HQ94" s="112">
        <f t="shared" si="240"/>
        <v>0.22068009744129702</v>
      </c>
      <c r="HR94" s="426"/>
      <c r="HS94" s="426"/>
      <c r="HT94" s="426"/>
      <c r="HU94" s="434">
        <f t="shared" si="241"/>
        <v>3625157</v>
      </c>
      <c r="HV94" s="296"/>
      <c r="HW94" s="296">
        <f t="shared" si="242"/>
        <v>0</v>
      </c>
      <c r="HX94" s="297"/>
      <c r="HY94" s="300">
        <v>0</v>
      </c>
      <c r="HZ94" s="300"/>
      <c r="IA94" s="272"/>
      <c r="IB94" s="272"/>
      <c r="IC94" s="424">
        <v>0</v>
      </c>
      <c r="ID94" s="281"/>
      <c r="IE94" s="293">
        <v>0</v>
      </c>
      <c r="IF94" s="281"/>
      <c r="IG94" s="523"/>
      <c r="IH94" s="298"/>
      <c r="II94" s="303"/>
      <c r="IJ94" s="301"/>
      <c r="IK94" s="301"/>
      <c r="IL94" s="295"/>
      <c r="IM94" s="296"/>
      <c r="IN94" s="295"/>
      <c r="IO94" s="296"/>
      <c r="IP94" s="326"/>
      <c r="IQ94" s="326"/>
      <c r="IR94" s="326"/>
      <c r="IS94" s="326"/>
      <c r="IT94" s="289"/>
      <c r="IU94" s="289"/>
      <c r="IV94" s="289"/>
      <c r="IW94" s="289"/>
      <c r="IX94" s="289"/>
      <c r="IY94" s="289"/>
      <c r="IZ94" s="300" t="e">
        <f>$IZ$1*HV94</f>
        <v>#VALUE!</v>
      </c>
      <c r="JA94" s="123"/>
      <c r="JB94" s="298"/>
      <c r="JC94" s="123"/>
      <c r="JD94" s="123"/>
      <c r="JE94" s="298"/>
    </row>
    <row r="95" spans="1:265" ht="35.1" customHeight="1">
      <c r="A95" s="507" t="s">
        <v>503</v>
      </c>
      <c r="B95" s="56" t="s">
        <v>28</v>
      </c>
      <c r="C95" s="56" t="s">
        <v>117</v>
      </c>
      <c r="D95" s="56">
        <v>2018</v>
      </c>
      <c r="E95" s="56"/>
      <c r="F95" s="56" t="s">
        <v>488</v>
      </c>
      <c r="G95" s="56" t="s">
        <v>189</v>
      </c>
      <c r="H95" s="56" t="s">
        <v>740</v>
      </c>
      <c r="I95" s="56"/>
      <c r="J95" s="56" t="s">
        <v>508</v>
      </c>
      <c r="K95" s="275" t="s">
        <v>529</v>
      </c>
      <c r="L95" s="178" t="s">
        <v>64</v>
      </c>
      <c r="M95" s="179" t="s">
        <v>523</v>
      </c>
      <c r="N95" s="332" t="s">
        <v>528</v>
      </c>
      <c r="O95" s="245"/>
      <c r="P95" s="245"/>
      <c r="Q95" s="245"/>
      <c r="R95" s="245"/>
      <c r="S95" s="245"/>
      <c r="T95" s="719"/>
      <c r="U95" s="719"/>
      <c r="V95" s="719"/>
      <c r="W95" s="245"/>
      <c r="X95" s="220"/>
      <c r="Y95" s="221"/>
      <c r="Z95" s="220"/>
      <c r="AA95" s="220"/>
      <c r="AB95" s="221"/>
      <c r="AC95" s="56" t="s">
        <v>487</v>
      </c>
      <c r="AD95" s="345">
        <f t="shared" si="202"/>
        <v>23</v>
      </c>
      <c r="AE95" s="67"/>
      <c r="AF95" s="120"/>
      <c r="AG95" s="120"/>
      <c r="AH95" s="205">
        <v>23</v>
      </c>
      <c r="AI95" s="60"/>
      <c r="AJ95" s="95"/>
      <c r="AK95" s="9"/>
      <c r="AL95" s="81"/>
      <c r="AM95" s="81"/>
      <c r="AN95" s="81"/>
      <c r="AO95" s="81"/>
      <c r="AP95" s="81"/>
      <c r="AQ95" s="60"/>
      <c r="AR95" s="79"/>
      <c r="AS95" s="81"/>
      <c r="AT95" s="60"/>
      <c r="AU95" s="56"/>
      <c r="AV95" s="56"/>
      <c r="AW95" s="56"/>
      <c r="AX95" s="56"/>
      <c r="AY95" s="115"/>
      <c r="AZ95" s="115"/>
      <c r="BA95" s="100"/>
      <c r="BB95" s="216"/>
      <c r="BC95" s="102"/>
      <c r="BD95" s="102"/>
      <c r="BE95" s="216"/>
      <c r="BF95" s="102"/>
      <c r="BG95" s="172"/>
      <c r="BH95" s="215"/>
      <c r="BI95" s="172"/>
      <c r="BJ95" s="172"/>
      <c r="BK95" s="103"/>
      <c r="BL95" s="200">
        <f>DATE(YEAR(BK95),MONTH(BK95)+24,DAY(BK95))</f>
        <v>731</v>
      </c>
      <c r="BM95" s="200">
        <f>DATE(YEAR(BK95),MONTH(BK95)+36,DAY(BK95))</f>
        <v>1096</v>
      </c>
      <c r="BN95" s="200"/>
      <c r="BO95" s="172"/>
      <c r="BP95" s="177"/>
      <c r="BQ95" s="103"/>
      <c r="BR95" s="104"/>
      <c r="BS95" s="104"/>
      <c r="BT95" s="104"/>
      <c r="BU95" s="170"/>
      <c r="BV95" s="268"/>
      <c r="BW95" s="268"/>
      <c r="BX95" s="169"/>
      <c r="BY95" s="268"/>
      <c r="BZ95" s="268"/>
      <c r="CA95" s="268"/>
      <c r="CB95" s="450"/>
      <c r="CC95" s="450"/>
      <c r="CD95" s="509"/>
      <c r="CE95" s="384">
        <v>43480</v>
      </c>
      <c r="CF95" s="377"/>
      <c r="CG95" s="494">
        <f t="shared" si="203"/>
        <v>1449.3333333333333</v>
      </c>
      <c r="CH95" s="262">
        <v>12</v>
      </c>
      <c r="CI95" s="262">
        <f t="shared" si="204"/>
        <v>13</v>
      </c>
      <c r="CJ95" s="257">
        <f t="shared" si="205"/>
        <v>13</v>
      </c>
      <c r="CK95" s="257">
        <f t="shared" si="206"/>
        <v>15</v>
      </c>
      <c r="CL95" s="257">
        <f t="shared" si="207"/>
        <v>1</v>
      </c>
      <c r="CM95" s="257">
        <f t="shared" si="208"/>
        <v>2</v>
      </c>
      <c r="CN95" s="263"/>
      <c r="CO95" s="263">
        <f t="shared" si="209"/>
        <v>0</v>
      </c>
      <c r="CP95" s="258"/>
      <c r="CQ95" s="699">
        <f t="shared" si="210"/>
        <v>43845</v>
      </c>
      <c r="CR95" s="391">
        <f>DATE(YEAR(CE95),MONTH(CE95)+CH95+1,DAY(CE95))</f>
        <v>43876</v>
      </c>
      <c r="CS95" s="388"/>
      <c r="CT95" s="258"/>
      <c r="CU95" s="258"/>
      <c r="CV95" s="650">
        <f t="shared" si="212"/>
        <v>43905</v>
      </c>
      <c r="CW95" s="506">
        <f>DATE(YEAR(CV95),MONTH(CV95)+1,DAY(CV95))</f>
        <v>43936</v>
      </c>
      <c r="CX95" s="654"/>
      <c r="CY95" s="123"/>
      <c r="CZ95" s="127"/>
      <c r="DA95" s="127"/>
      <c r="DB95" s="127"/>
      <c r="DC95" s="127"/>
      <c r="DD95" s="127"/>
      <c r="DE95" s="56"/>
      <c r="DF95" s="56"/>
      <c r="DG95" s="56"/>
      <c r="DH95" s="56"/>
      <c r="DI95" s="56"/>
      <c r="DJ95" s="56"/>
      <c r="DK95" s="56"/>
      <c r="DL95" s="56"/>
      <c r="DM95" s="56"/>
      <c r="DN95" s="56"/>
      <c r="DO95" s="56"/>
      <c r="DP95" s="56"/>
      <c r="DQ95" s="56"/>
      <c r="DR95" s="56"/>
      <c r="DS95" s="610"/>
      <c r="DT95" s="611"/>
      <c r="DU95" s="611"/>
      <c r="DV95" s="615" t="str">
        <f t="shared" si="213"/>
        <v>0</v>
      </c>
      <c r="DW95" s="613">
        <v>43007</v>
      </c>
      <c r="DX95" s="613">
        <f ca="1">IF(DW95&lt;TODAY(),TODAY(),DW95)</f>
        <v>43163</v>
      </c>
      <c r="DY95" s="615">
        <f t="shared" ca="1" si="214"/>
        <v>156</v>
      </c>
      <c r="DZ95" s="613">
        <v>42986</v>
      </c>
      <c r="EA95" s="610">
        <f ca="1">IF(DZ95&lt;TODAY(),TODAY(),DZ95)</f>
        <v>43163</v>
      </c>
      <c r="EB95" s="615">
        <f t="shared" ca="1" si="215"/>
        <v>177</v>
      </c>
      <c r="EC95" s="613">
        <v>43067</v>
      </c>
      <c r="ED95" s="610">
        <f ca="1">IF(EC95&lt;TODAY(),TODAY(),EC95)</f>
        <v>43163</v>
      </c>
      <c r="EE95" s="615">
        <f t="shared" ca="1" si="216"/>
        <v>96</v>
      </c>
      <c r="EF95" s="613">
        <v>43126</v>
      </c>
      <c r="EG95" s="613">
        <f ca="1">IF(EF95&lt;TODAY(),TODAY(),EF95)</f>
        <v>43163</v>
      </c>
      <c r="EH95" s="615">
        <f t="shared" ca="1" si="217"/>
        <v>37</v>
      </c>
      <c r="EI95" s="618"/>
      <c r="EJ95" s="594">
        <v>43572</v>
      </c>
      <c r="EK95" s="600">
        <f ca="1">IF(EJ95&lt;TODAY(),TODAY(),EJ95)</f>
        <v>43572</v>
      </c>
      <c r="EL95" s="596">
        <f t="shared" ca="1" si="218"/>
        <v>0</v>
      </c>
      <c r="EM95" s="594">
        <v>43587</v>
      </c>
      <c r="EN95" s="600">
        <f ca="1">IF(EM95&lt;TODAY(),TODAY(),EM95)</f>
        <v>43587</v>
      </c>
      <c r="EO95" s="596">
        <f t="shared" ca="1" si="219"/>
        <v>0</v>
      </c>
      <c r="EP95" s="594"/>
      <c r="EQ95" s="600">
        <f ca="1">IF(EP95&lt;TODAY(),TODAY(),EP95)</f>
        <v>43163</v>
      </c>
      <c r="ER95" s="596" t="str">
        <f t="shared" ca="1" si="220"/>
        <v>0</v>
      </c>
      <c r="ES95" s="594"/>
      <c r="ET95" s="622">
        <f ca="1">IF(ES95&lt;TODAY(),TODAY(),ES95)</f>
        <v>43163</v>
      </c>
      <c r="EU95" s="597" t="str">
        <f t="shared" ca="1" si="221"/>
        <v>0</v>
      </c>
      <c r="EV95" s="598"/>
      <c r="EW95" s="600">
        <f ca="1">IF(EV95&lt;TODAY(),TODAY(),EV95)</f>
        <v>43163</v>
      </c>
      <c r="EX95" s="596" t="str">
        <f t="shared" ca="1" si="222"/>
        <v>0</v>
      </c>
      <c r="EY95" s="601"/>
      <c r="EZ95" s="600">
        <f ca="1">IF(EY95&lt;TODAY(),TODAY(),EY95)</f>
        <v>43163</v>
      </c>
      <c r="FA95" s="596" t="str">
        <f t="shared" ca="1" si="223"/>
        <v>0</v>
      </c>
      <c r="FB95" s="602"/>
      <c r="FC95" s="600">
        <f ca="1">IF(FB95&lt;TODAY(),TODAY(),FB95)</f>
        <v>43163</v>
      </c>
      <c r="FD95" s="596" t="str">
        <f t="shared" ca="1" si="224"/>
        <v>0</v>
      </c>
      <c r="FE95" s="602"/>
      <c r="FF95" s="600">
        <f ca="1">IF(FE95&lt;TODAY(),TODAY(),FE95)</f>
        <v>43163</v>
      </c>
      <c r="FG95" s="596" t="str">
        <f t="shared" ca="1" si="225"/>
        <v>0</v>
      </c>
      <c r="FH95" s="602"/>
      <c r="FI95" s="600">
        <f ca="1">IF(FH95&lt;TODAY(),TODAY(),FH95)</f>
        <v>43163</v>
      </c>
      <c r="FJ95" s="596" t="str">
        <f t="shared" ca="1" si="226"/>
        <v>0</v>
      </c>
      <c r="FK95" s="602"/>
      <c r="FL95" s="602"/>
      <c r="FM95" s="602"/>
      <c r="FN95" s="600">
        <v>43850</v>
      </c>
      <c r="FO95" s="600">
        <f t="shared" si="227"/>
        <v>43876</v>
      </c>
      <c r="FP95" s="598">
        <f t="shared" ca="1" si="228"/>
        <v>8.7666666666666675</v>
      </c>
      <c r="FQ95" s="600">
        <v>44347</v>
      </c>
      <c r="FR95" s="600">
        <f t="shared" si="229"/>
        <v>43936</v>
      </c>
      <c r="FS95" s="627">
        <v>0</v>
      </c>
      <c r="FT95" s="627">
        <v>0</v>
      </c>
      <c r="FU95" s="627"/>
      <c r="FV95" s="627"/>
      <c r="FW95" s="628">
        <f t="shared" ca="1" si="230"/>
        <v>15.533333333333333</v>
      </c>
      <c r="FX95" s="628">
        <f t="shared" si="231"/>
        <v>-13.7</v>
      </c>
      <c r="FY95" s="624"/>
      <c r="FZ95" s="641"/>
      <c r="GA95" s="624" t="s">
        <v>837</v>
      </c>
      <c r="GB95" s="624"/>
      <c r="GC95" s="118"/>
      <c r="GD95" s="118"/>
      <c r="GE95" s="96">
        <f>+GO95+GS95+GZ95+HT95+HE95+HD95</f>
        <v>993116</v>
      </c>
      <c r="GF95" s="96">
        <f>GP95+GT95+GY95+HA95+HE95</f>
        <v>0</v>
      </c>
      <c r="GG95" s="96">
        <f t="shared" si="233"/>
        <v>-993116</v>
      </c>
      <c r="GH95" s="96" t="e">
        <f t="shared" si="234"/>
        <v>#DIV/0!</v>
      </c>
      <c r="GI95" s="329">
        <f t="shared" si="244"/>
        <v>43178.956521739128</v>
      </c>
      <c r="GJ95" s="96"/>
      <c r="GK95" s="96"/>
      <c r="GL95" s="96">
        <f t="shared" si="235"/>
        <v>0</v>
      </c>
      <c r="GM95" s="96" t="e">
        <f t="shared" si="236"/>
        <v>#DIV/0!</v>
      </c>
      <c r="GN95" s="329">
        <v>0.4</v>
      </c>
      <c r="GO95" s="96"/>
      <c r="GP95" s="96"/>
      <c r="GQ95" s="96">
        <f t="shared" si="245"/>
        <v>0</v>
      </c>
      <c r="GR95" s="96"/>
      <c r="GS95" s="692">
        <f>695036-HD95</f>
        <v>515036</v>
      </c>
      <c r="GT95" s="96">
        <f t="shared" si="243"/>
        <v>0</v>
      </c>
      <c r="GU95" s="96"/>
      <c r="GV95" s="96"/>
      <c r="GW95" s="96">
        <f t="shared" si="237"/>
        <v>-515036</v>
      </c>
      <c r="GX95" s="329">
        <f t="shared" si="246"/>
        <v>22392.869565217392</v>
      </c>
      <c r="GY95" s="96"/>
      <c r="GZ95" s="96">
        <v>298080</v>
      </c>
      <c r="HA95" s="96"/>
      <c r="HB95" s="96"/>
      <c r="HC95" s="329">
        <f t="shared" si="238"/>
        <v>0.30014620648544582</v>
      </c>
      <c r="HD95" s="96">
        <v>180000</v>
      </c>
      <c r="HE95" s="70"/>
      <c r="HF95" s="92">
        <f t="shared" si="239"/>
        <v>-298080</v>
      </c>
      <c r="HG95" s="52">
        <f t="shared" si="247"/>
        <v>12960</v>
      </c>
      <c r="HH95" s="84">
        <f t="shared" si="248"/>
        <v>12960</v>
      </c>
      <c r="HI95" s="426">
        <f t="shared" si="249"/>
        <v>-12960</v>
      </c>
      <c r="HJ95" s="430">
        <v>6.31</v>
      </c>
      <c r="HK95" s="430"/>
      <c r="HL95" s="426"/>
      <c r="HM95" s="426"/>
      <c r="HN95" s="426">
        <f t="shared" si="250"/>
        <v>12960</v>
      </c>
      <c r="HO95" s="426"/>
      <c r="HP95" s="426">
        <f t="shared" si="251"/>
        <v>0</v>
      </c>
      <c r="HQ95" s="112">
        <f t="shared" si="240"/>
        <v>0.30014620648544582</v>
      </c>
      <c r="HR95" s="426"/>
      <c r="HS95" s="426"/>
      <c r="HT95" s="426"/>
      <c r="HU95" s="434">
        <f t="shared" si="241"/>
        <v>993116</v>
      </c>
      <c r="HV95" s="296"/>
      <c r="HW95" s="296">
        <f t="shared" si="242"/>
        <v>0</v>
      </c>
      <c r="HX95" s="297"/>
      <c r="HY95" s="300">
        <v>0</v>
      </c>
      <c r="HZ95" s="300"/>
      <c r="IA95" s="272"/>
      <c r="IB95" s="272"/>
      <c r="IC95" s="424">
        <v>0</v>
      </c>
      <c r="ID95" s="281"/>
      <c r="IE95" s="293">
        <v>0</v>
      </c>
      <c r="IF95" s="281"/>
      <c r="IG95" s="523"/>
      <c r="IH95" s="298"/>
      <c r="II95" s="303"/>
      <c r="IJ95" s="301"/>
      <c r="IK95" s="301"/>
      <c r="IL95" s="295"/>
      <c r="IM95" s="300"/>
      <c r="IN95" s="295"/>
      <c r="IO95" s="300"/>
      <c r="IP95" s="326"/>
      <c r="IQ95" s="326"/>
      <c r="IR95" s="326"/>
      <c r="IS95" s="326"/>
      <c r="IT95" s="289"/>
      <c r="IU95" s="289"/>
      <c r="IV95" s="289"/>
      <c r="IW95" s="289"/>
      <c r="IX95" s="289"/>
      <c r="IY95" s="289"/>
      <c r="IZ95" s="300" t="e">
        <f>$IZ$1*HV95</f>
        <v>#VALUE!</v>
      </c>
      <c r="JA95" s="123"/>
      <c r="JB95" s="298"/>
      <c r="JC95" s="123"/>
      <c r="JD95" s="123"/>
      <c r="JE95" s="298"/>
    </row>
    <row r="96" spans="1:265" ht="24.95" customHeight="1">
      <c r="A96" s="507" t="s">
        <v>501</v>
      </c>
      <c r="B96" s="56" t="s">
        <v>28</v>
      </c>
      <c r="C96" s="56" t="s">
        <v>117</v>
      </c>
      <c r="D96" s="56">
        <v>2018</v>
      </c>
      <c r="E96" s="56"/>
      <c r="F96" s="56" t="s">
        <v>488</v>
      </c>
      <c r="G96" s="56" t="s">
        <v>189</v>
      </c>
      <c r="H96" s="56" t="s">
        <v>740</v>
      </c>
      <c r="I96" s="56"/>
      <c r="J96" s="56" t="s">
        <v>502</v>
      </c>
      <c r="K96" s="275" t="s">
        <v>545</v>
      </c>
      <c r="L96" s="178" t="s">
        <v>64</v>
      </c>
      <c r="M96" s="179" t="s">
        <v>544</v>
      </c>
      <c r="N96" s="180">
        <v>33994</v>
      </c>
      <c r="O96" s="245"/>
      <c r="P96" s="245"/>
      <c r="Q96" s="245"/>
      <c r="R96" s="245"/>
      <c r="S96" s="245"/>
      <c r="T96" s="719"/>
      <c r="U96" s="719"/>
      <c r="V96" s="719"/>
      <c r="W96" s="245"/>
      <c r="X96" s="220"/>
      <c r="Y96" s="221"/>
      <c r="Z96" s="220"/>
      <c r="AA96" s="220"/>
      <c r="AB96" s="221"/>
      <c r="AC96" s="56" t="s">
        <v>487</v>
      </c>
      <c r="AD96" s="345">
        <f t="shared" si="202"/>
        <v>30</v>
      </c>
      <c r="AE96" s="67"/>
      <c r="AF96" s="120"/>
      <c r="AG96" s="120"/>
      <c r="AH96" s="205">
        <v>30</v>
      </c>
      <c r="AI96" s="60"/>
      <c r="AJ96" s="95"/>
      <c r="AK96" s="9"/>
      <c r="AL96" s="81"/>
      <c r="AM96" s="81"/>
      <c r="AN96" s="81"/>
      <c r="AO96" s="81"/>
      <c r="AP96" s="81"/>
      <c r="AQ96" s="60"/>
      <c r="AR96" s="79"/>
      <c r="AS96" s="81"/>
      <c r="AT96" s="60"/>
      <c r="AU96" s="56"/>
      <c r="AV96" s="56"/>
      <c r="AW96" s="56"/>
      <c r="AX96" s="56"/>
      <c r="AY96" s="115"/>
      <c r="AZ96" s="115"/>
      <c r="BA96" s="100"/>
      <c r="BB96" s="216"/>
      <c r="BC96" s="102"/>
      <c r="BD96" s="102"/>
      <c r="BE96" s="216"/>
      <c r="BF96" s="102"/>
      <c r="BG96" s="172"/>
      <c r="BH96" s="215"/>
      <c r="BI96" s="172"/>
      <c r="BJ96" s="172"/>
      <c r="BK96" s="103"/>
      <c r="BL96" s="200">
        <f>DATE(YEAR(BK96),MONTH(BK96)+24,DAY(BK96))</f>
        <v>731</v>
      </c>
      <c r="BM96" s="200">
        <f>DATE(YEAR(BK96),MONTH(BK96)+36,DAY(BK96))</f>
        <v>1096</v>
      </c>
      <c r="BN96" s="200"/>
      <c r="BO96" s="172"/>
      <c r="BP96" s="177"/>
      <c r="BQ96" s="103"/>
      <c r="BR96" s="104"/>
      <c r="BS96" s="104"/>
      <c r="BT96" s="104"/>
      <c r="BU96" s="170"/>
      <c r="BV96" s="268"/>
      <c r="BW96" s="268"/>
      <c r="BX96" s="169"/>
      <c r="BY96" s="268"/>
      <c r="BZ96" s="268"/>
      <c r="CA96" s="268"/>
      <c r="CB96" s="450"/>
      <c r="CC96" s="450"/>
      <c r="CD96" s="509"/>
      <c r="CE96" s="384">
        <v>43480</v>
      </c>
      <c r="CF96" s="377"/>
      <c r="CG96" s="494">
        <f t="shared" si="203"/>
        <v>1449.3333333333333</v>
      </c>
      <c r="CH96" s="262">
        <v>12</v>
      </c>
      <c r="CI96" s="262">
        <f t="shared" si="204"/>
        <v>13</v>
      </c>
      <c r="CJ96" s="257">
        <f t="shared" si="205"/>
        <v>13</v>
      </c>
      <c r="CK96" s="257">
        <f t="shared" si="206"/>
        <v>15</v>
      </c>
      <c r="CL96" s="257">
        <f t="shared" si="207"/>
        <v>1</v>
      </c>
      <c r="CM96" s="257">
        <f t="shared" si="208"/>
        <v>2</v>
      </c>
      <c r="CN96" s="263"/>
      <c r="CO96" s="263">
        <f t="shared" si="209"/>
        <v>0</v>
      </c>
      <c r="CP96" s="258"/>
      <c r="CQ96" s="699">
        <f t="shared" si="210"/>
        <v>43845</v>
      </c>
      <c r="CR96" s="391">
        <f>DATE(YEAR(CE96),MONTH(CE96)+CH96+1,DAY(CE96))</f>
        <v>43876</v>
      </c>
      <c r="CS96" s="388"/>
      <c r="CT96" s="258"/>
      <c r="CU96" s="258"/>
      <c r="CV96" s="650">
        <f t="shared" si="212"/>
        <v>43905</v>
      </c>
      <c r="CW96" s="506">
        <f>DATE(YEAR(CV96),MONTH(CV96)+1,DAY(CV96))</f>
        <v>43936</v>
      </c>
      <c r="CX96" s="654"/>
      <c r="CY96" s="123"/>
      <c r="CZ96" s="127"/>
      <c r="DA96" s="127"/>
      <c r="DB96" s="127"/>
      <c r="DC96" s="127"/>
      <c r="DD96" s="127"/>
      <c r="DE96" s="56"/>
      <c r="DF96" s="56"/>
      <c r="DG96" s="56"/>
      <c r="DH96" s="56"/>
      <c r="DI96" s="56"/>
      <c r="DJ96" s="56"/>
      <c r="DK96" s="56"/>
      <c r="DL96" s="56"/>
      <c r="DM96" s="56"/>
      <c r="DN96" s="56"/>
      <c r="DO96" s="56"/>
      <c r="DP96" s="56"/>
      <c r="DQ96" s="56"/>
      <c r="DR96" s="56"/>
      <c r="DS96" s="610"/>
      <c r="DT96" s="613"/>
      <c r="DU96" s="613"/>
      <c r="DV96" s="615" t="str">
        <f t="shared" si="213"/>
        <v>0</v>
      </c>
      <c r="DW96" s="613">
        <v>42969</v>
      </c>
      <c r="DX96" s="613">
        <f ca="1">IF(DW96&lt;TODAY(),TODAY(),DW96)</f>
        <v>43163</v>
      </c>
      <c r="DY96" s="615">
        <f t="shared" ca="1" si="214"/>
        <v>194</v>
      </c>
      <c r="DZ96" s="613">
        <v>42948</v>
      </c>
      <c r="EA96" s="613">
        <f ca="1">IF(DZ96&lt;TODAY(),TODAY(),DZ96)</f>
        <v>43163</v>
      </c>
      <c r="EB96" s="615">
        <f t="shared" ca="1" si="215"/>
        <v>215</v>
      </c>
      <c r="EC96" s="613">
        <v>43028</v>
      </c>
      <c r="ED96" s="613">
        <f ca="1">IF(EC96&lt;TODAY(),TODAY(),EC96)</f>
        <v>43163</v>
      </c>
      <c r="EE96" s="615">
        <f t="shared" ca="1" si="216"/>
        <v>135</v>
      </c>
      <c r="EF96" s="613">
        <v>43089</v>
      </c>
      <c r="EG96" s="613">
        <f ca="1">IF(EF96&lt;TODAY(),TODAY(),EF96)</f>
        <v>43163</v>
      </c>
      <c r="EH96" s="615">
        <f t="shared" ca="1" si="217"/>
        <v>74</v>
      </c>
      <c r="EI96" s="618"/>
      <c r="EJ96" s="594">
        <v>43532</v>
      </c>
      <c r="EK96" s="600">
        <f ca="1">IF(EJ96&lt;TODAY(),TODAY(),EJ96)</f>
        <v>43532</v>
      </c>
      <c r="EL96" s="596">
        <f t="shared" ca="1" si="218"/>
        <v>0</v>
      </c>
      <c r="EM96" s="594">
        <v>43549</v>
      </c>
      <c r="EN96" s="600">
        <f ca="1">IF(EM96&lt;TODAY(),TODAY(),EM96)</f>
        <v>43549</v>
      </c>
      <c r="EO96" s="596">
        <f t="shared" ca="1" si="219"/>
        <v>0</v>
      </c>
      <c r="EP96" s="594"/>
      <c r="EQ96" s="600">
        <f ca="1">IF(EP96&lt;TODAY(),TODAY(),EP96)</f>
        <v>43163</v>
      </c>
      <c r="ER96" s="596" t="str">
        <f t="shared" ca="1" si="220"/>
        <v>0</v>
      </c>
      <c r="ES96" s="594"/>
      <c r="ET96" s="622">
        <f ca="1">IF(ES96&lt;TODAY(),TODAY(),ES96)</f>
        <v>43163</v>
      </c>
      <c r="EU96" s="597" t="str">
        <f t="shared" ca="1" si="221"/>
        <v>0</v>
      </c>
      <c r="EV96" s="598"/>
      <c r="EW96" s="600">
        <f ca="1">IF(EV96&lt;TODAY(),TODAY(),EV96)</f>
        <v>43163</v>
      </c>
      <c r="EX96" s="596" t="str">
        <f t="shared" ca="1" si="222"/>
        <v>0</v>
      </c>
      <c r="EY96" s="601"/>
      <c r="EZ96" s="600">
        <f ca="1">IF(EY96&lt;TODAY(),TODAY(),EY96)</f>
        <v>43163</v>
      </c>
      <c r="FA96" s="596" t="str">
        <f t="shared" ca="1" si="223"/>
        <v>0</v>
      </c>
      <c r="FB96" s="602"/>
      <c r="FC96" s="600">
        <f ca="1">IF(FB96&lt;TODAY(),TODAY(),FB96)</f>
        <v>43163</v>
      </c>
      <c r="FD96" s="596" t="str">
        <f t="shared" ca="1" si="224"/>
        <v>0</v>
      </c>
      <c r="FE96" s="602"/>
      <c r="FF96" s="600">
        <f ca="1">IF(FE96&lt;TODAY(),TODAY(),FE96)</f>
        <v>43163</v>
      </c>
      <c r="FG96" s="596" t="str">
        <f t="shared" ca="1" si="225"/>
        <v>0</v>
      </c>
      <c r="FH96" s="600"/>
      <c r="FI96" s="600">
        <f ca="1">IF(FH96&lt;TODAY(),TODAY(),FH96)</f>
        <v>43163</v>
      </c>
      <c r="FJ96" s="596" t="str">
        <f t="shared" ca="1" si="226"/>
        <v>0</v>
      </c>
      <c r="FK96" s="602"/>
      <c r="FL96" s="602"/>
      <c r="FM96" s="602"/>
      <c r="FN96" s="600">
        <v>43840</v>
      </c>
      <c r="FO96" s="600">
        <f t="shared" si="227"/>
        <v>43876</v>
      </c>
      <c r="FP96" s="598">
        <f t="shared" ca="1" si="228"/>
        <v>9.6999999999999993</v>
      </c>
      <c r="FQ96" s="600">
        <v>44309</v>
      </c>
      <c r="FR96" s="600">
        <f t="shared" si="229"/>
        <v>43936</v>
      </c>
      <c r="FS96" s="627">
        <v>0</v>
      </c>
      <c r="FT96" s="627">
        <v>0</v>
      </c>
      <c r="FU96" s="627"/>
      <c r="FV96" s="627"/>
      <c r="FW96" s="628">
        <f t="shared" ca="1" si="230"/>
        <v>20.6</v>
      </c>
      <c r="FX96" s="628">
        <f t="shared" si="231"/>
        <v>-12.433333333333334</v>
      </c>
      <c r="FY96" s="624"/>
      <c r="FZ96" s="641"/>
      <c r="GA96" s="624" t="s">
        <v>837</v>
      </c>
      <c r="GB96" s="624"/>
      <c r="GC96" s="118"/>
      <c r="GD96" s="118"/>
      <c r="GE96" s="96">
        <f>+GO96+GS96+GZ96+HT96+HE96+HD96</f>
        <v>983249.38</v>
      </c>
      <c r="GF96" s="96">
        <f>GP96+GT96+HA96+HT96+HB96+HE96</f>
        <v>0</v>
      </c>
      <c r="GG96" s="96">
        <f t="shared" si="233"/>
        <v>-983249.38</v>
      </c>
      <c r="GH96" s="96" t="e">
        <f t="shared" si="234"/>
        <v>#DIV/0!</v>
      </c>
      <c r="GI96" s="329">
        <f>GE96/AH96</f>
        <v>32774.979333333336</v>
      </c>
      <c r="GJ96" s="96"/>
      <c r="GK96" s="96"/>
      <c r="GL96" s="96">
        <f t="shared" si="235"/>
        <v>0</v>
      </c>
      <c r="GM96" s="96" t="e">
        <f t="shared" si="236"/>
        <v>#DIV/0!</v>
      </c>
      <c r="GN96" s="329">
        <v>0.4</v>
      </c>
      <c r="GO96" s="96"/>
      <c r="GP96" s="96"/>
      <c r="GQ96" s="96">
        <f>GO96/AH96</f>
        <v>0</v>
      </c>
      <c r="GR96" s="96"/>
      <c r="GS96" s="692">
        <f>795749.38-HD96</f>
        <v>545749.38</v>
      </c>
      <c r="GT96" s="96">
        <f t="shared" si="243"/>
        <v>0</v>
      </c>
      <c r="GU96" s="96"/>
      <c r="GV96" s="96"/>
      <c r="GW96" s="96">
        <f t="shared" si="237"/>
        <v>-545749.38</v>
      </c>
      <c r="GX96" s="329">
        <f>GS96/AH96</f>
        <v>18191.646000000001</v>
      </c>
      <c r="GY96" s="96"/>
      <c r="GZ96" s="96">
        <v>187500</v>
      </c>
      <c r="HA96" s="96"/>
      <c r="HB96" s="96"/>
      <c r="HC96" s="329">
        <f t="shared" si="238"/>
        <v>0.19069424686542899</v>
      </c>
      <c r="HD96" s="96">
        <v>250000</v>
      </c>
      <c r="HE96" s="70"/>
      <c r="HF96" s="92">
        <f t="shared" si="239"/>
        <v>-187500</v>
      </c>
      <c r="HG96" s="52">
        <f>GZ96/AH96</f>
        <v>6250</v>
      </c>
      <c r="HH96" s="84">
        <f>(GO96+GZ96)/AH96</f>
        <v>6250</v>
      </c>
      <c r="HI96" s="426">
        <f>HF96/AH96</f>
        <v>-6250</v>
      </c>
      <c r="HJ96" s="430">
        <v>6.31</v>
      </c>
      <c r="HK96" s="430"/>
      <c r="HL96" s="426"/>
      <c r="HM96" s="426"/>
      <c r="HN96" s="426">
        <f>(GO96+GZ96+HM96)/AH96</f>
        <v>6250</v>
      </c>
      <c r="HO96" s="426"/>
      <c r="HP96" s="426">
        <f>(GP96+HA96+HM96+HO96)/AH96</f>
        <v>0</v>
      </c>
      <c r="HQ96" s="112">
        <f t="shared" si="240"/>
        <v>0.19069424686542899</v>
      </c>
      <c r="HR96" s="426"/>
      <c r="HS96" s="426"/>
      <c r="HT96" s="426"/>
      <c r="HU96" s="434">
        <f t="shared" si="241"/>
        <v>983249.38</v>
      </c>
      <c r="HV96" s="296"/>
      <c r="HW96" s="296">
        <f t="shared" si="242"/>
        <v>0</v>
      </c>
      <c r="HX96" s="297"/>
      <c r="HY96" s="300">
        <v>0</v>
      </c>
      <c r="HZ96" s="300"/>
      <c r="IA96" s="272"/>
      <c r="IB96" s="272"/>
      <c r="IC96" s="424">
        <v>0</v>
      </c>
      <c r="ID96" s="281"/>
      <c r="IE96" s="293">
        <v>0</v>
      </c>
      <c r="IF96" s="281"/>
      <c r="IG96" s="523"/>
      <c r="IH96" s="298"/>
      <c r="II96" s="303"/>
      <c r="IJ96" s="301"/>
      <c r="IK96" s="301"/>
      <c r="IL96" s="295"/>
      <c r="IM96" s="300"/>
      <c r="IN96" s="295"/>
      <c r="IO96" s="300"/>
      <c r="IP96" s="326"/>
      <c r="IQ96" s="326"/>
      <c r="IR96" s="326"/>
      <c r="IS96" s="326"/>
      <c r="IT96" s="289"/>
      <c r="IU96" s="289"/>
      <c r="IV96" s="289"/>
      <c r="IW96" s="289"/>
      <c r="IX96" s="289"/>
      <c r="IY96" s="289"/>
      <c r="IZ96" s="300" t="e">
        <f>$IZ$1*HV96</f>
        <v>#VALUE!</v>
      </c>
      <c r="JA96" s="123"/>
      <c r="JB96" s="298"/>
      <c r="JC96" s="123"/>
      <c r="JD96" s="123"/>
      <c r="JE96" s="298"/>
    </row>
    <row r="97" spans="1:265" ht="24.95" customHeight="1">
      <c r="A97" s="459" t="s">
        <v>658</v>
      </c>
      <c r="B97" s="56" t="s">
        <v>41</v>
      </c>
      <c r="C97" s="56" t="s">
        <v>118</v>
      </c>
      <c r="D97" s="56">
        <v>2019</v>
      </c>
      <c r="E97" s="56" t="s">
        <v>667</v>
      </c>
      <c r="F97" s="56"/>
      <c r="G97" s="56"/>
      <c r="H97" s="58" t="s">
        <v>253</v>
      </c>
      <c r="I97" s="56"/>
      <c r="J97" s="56" t="s">
        <v>701</v>
      </c>
      <c r="K97" s="275" t="s">
        <v>702</v>
      </c>
      <c r="L97" s="178"/>
      <c r="M97" s="179"/>
      <c r="N97" s="180"/>
      <c r="O97" s="219"/>
      <c r="P97" s="219"/>
      <c r="Q97" s="219"/>
      <c r="R97" s="219">
        <f>P97/AD97</f>
        <v>0</v>
      </c>
      <c r="S97" s="219" t="e">
        <f>P97/O97</f>
        <v>#DIV/0!</v>
      </c>
      <c r="T97" s="225" t="e">
        <f>Q97/O97</f>
        <v>#DIV/0!</v>
      </c>
      <c r="U97" s="225" t="e">
        <f>Q97/AJ97</f>
        <v>#DIV/0!</v>
      </c>
      <c r="V97" s="225">
        <f>Q97/AD97</f>
        <v>0</v>
      </c>
      <c r="W97" s="219">
        <f>O97/AD97</f>
        <v>0</v>
      </c>
      <c r="X97" s="220"/>
      <c r="Y97" s="221"/>
      <c r="Z97" s="220"/>
      <c r="AA97" s="220"/>
      <c r="AB97" s="221"/>
      <c r="AC97" s="56" t="s">
        <v>16</v>
      </c>
      <c r="AD97" s="345">
        <f t="shared" si="202"/>
        <v>60</v>
      </c>
      <c r="AE97" s="67"/>
      <c r="AF97" s="56">
        <v>60</v>
      </c>
      <c r="AG97" s="67"/>
      <c r="AH97" s="56"/>
      <c r="AI97" s="60"/>
      <c r="AJ97" s="95"/>
      <c r="AK97" s="60"/>
      <c r="AL97" s="81"/>
      <c r="AM97" s="81"/>
      <c r="AN97" s="81"/>
      <c r="AO97" s="81"/>
      <c r="AP97" s="81"/>
      <c r="AQ97" s="60"/>
      <c r="AR97" s="79"/>
      <c r="AS97" s="81"/>
      <c r="AT97" s="60"/>
      <c r="AU97" s="59"/>
      <c r="AV97" s="56"/>
      <c r="AW97" s="253"/>
      <c r="AX97" s="196"/>
      <c r="AY97" s="115"/>
      <c r="AZ97" s="115"/>
      <c r="BA97" s="100"/>
      <c r="BB97" s="216"/>
      <c r="BC97" s="102"/>
      <c r="BD97" s="102"/>
      <c r="BE97" s="216"/>
      <c r="BF97" s="102"/>
      <c r="BG97" s="172"/>
      <c r="BH97" s="215"/>
      <c r="BI97" s="172"/>
      <c r="BJ97" s="172"/>
      <c r="BK97" s="103"/>
      <c r="BL97" s="200"/>
      <c r="BM97" s="200"/>
      <c r="BN97" s="200"/>
      <c r="BO97" s="172"/>
      <c r="BP97" s="177"/>
      <c r="BQ97" s="103"/>
      <c r="BR97" s="104"/>
      <c r="BS97" s="104"/>
      <c r="BT97" s="104"/>
      <c r="BU97" s="170"/>
      <c r="BV97" s="268"/>
      <c r="BW97" s="268"/>
      <c r="BX97" s="169"/>
      <c r="BY97" s="268"/>
      <c r="BZ97" s="268"/>
      <c r="CA97" s="268"/>
      <c r="CB97" s="268" t="s">
        <v>177</v>
      </c>
      <c r="CC97" s="682"/>
      <c r="CD97" s="509"/>
      <c r="CE97" s="384">
        <v>44013</v>
      </c>
      <c r="CF97" s="377"/>
      <c r="CG97" s="494">
        <f t="shared" si="203"/>
        <v>1467.1</v>
      </c>
      <c r="CH97" s="262">
        <v>18</v>
      </c>
      <c r="CI97" s="262">
        <f t="shared" si="204"/>
        <v>19</v>
      </c>
      <c r="CJ97" s="257">
        <f t="shared" si="205"/>
        <v>18</v>
      </c>
      <c r="CK97" s="257">
        <f t="shared" si="206"/>
        <v>19</v>
      </c>
      <c r="CL97" s="257">
        <f t="shared" si="207"/>
        <v>0</v>
      </c>
      <c r="CM97" s="257">
        <f t="shared" si="208"/>
        <v>0</v>
      </c>
      <c r="CN97" s="263"/>
      <c r="CO97" s="263">
        <f t="shared" si="209"/>
        <v>0</v>
      </c>
      <c r="CP97" s="258"/>
      <c r="CQ97" s="699">
        <f t="shared" si="210"/>
        <v>44562</v>
      </c>
      <c r="CR97" s="391">
        <f>DATE(YEAR(CE97),MONTH(CE97)+CH97,DAY(CE97))</f>
        <v>44562</v>
      </c>
      <c r="CS97" s="388">
        <f>DATE(YEAR(CA97)+2,MONTH(CA97),DAY(CA97))</f>
        <v>731</v>
      </c>
      <c r="CT97" s="258"/>
      <c r="CU97" s="258"/>
      <c r="CV97" s="650">
        <f t="shared" si="212"/>
        <v>44593</v>
      </c>
      <c r="CW97" s="506">
        <f>CV97</f>
        <v>44593</v>
      </c>
      <c r="CX97" s="654"/>
      <c r="CY97" s="123"/>
      <c r="CZ97" s="127"/>
      <c r="DA97" s="127"/>
      <c r="DB97" s="127"/>
      <c r="DC97" s="127"/>
      <c r="DD97" s="127"/>
      <c r="DE97" s="56"/>
      <c r="DF97" s="56"/>
      <c r="DG97" s="56"/>
      <c r="DH97" s="56"/>
      <c r="DI97" s="56"/>
      <c r="DJ97" s="56"/>
      <c r="DK97" s="56"/>
      <c r="DL97" s="56"/>
      <c r="DM97" s="56"/>
      <c r="DN97" s="56"/>
      <c r="DO97" s="56"/>
      <c r="DP97" s="56"/>
      <c r="DQ97" s="56"/>
      <c r="DR97" s="56"/>
      <c r="DS97" s="610"/>
      <c r="DT97" s="613"/>
      <c r="DU97" s="613"/>
      <c r="DV97" s="615" t="str">
        <f t="shared" si="213"/>
        <v>0</v>
      </c>
      <c r="DW97" s="613"/>
      <c r="DX97" s="613"/>
      <c r="DY97" s="615" t="str">
        <f t="shared" si="214"/>
        <v>0</v>
      </c>
      <c r="DZ97" s="613"/>
      <c r="EA97" s="613"/>
      <c r="EB97" s="615" t="str">
        <f t="shared" si="215"/>
        <v>0</v>
      </c>
      <c r="EC97" s="613"/>
      <c r="ED97" s="613"/>
      <c r="EE97" s="615" t="str">
        <f t="shared" si="216"/>
        <v>0</v>
      </c>
      <c r="EF97" s="616"/>
      <c r="EG97" s="617"/>
      <c r="EH97" s="615" t="str">
        <f t="shared" si="217"/>
        <v>0</v>
      </c>
      <c r="EI97" s="618"/>
      <c r="EJ97" s="594"/>
      <c r="EK97" s="595"/>
      <c r="EL97" s="596" t="str">
        <f t="shared" si="218"/>
        <v>0</v>
      </c>
      <c r="EM97" s="594"/>
      <c r="EN97" s="595"/>
      <c r="EO97" s="596" t="str">
        <f t="shared" si="219"/>
        <v>0</v>
      </c>
      <c r="EP97" s="594"/>
      <c r="EQ97" s="595"/>
      <c r="ER97" s="596" t="str">
        <f t="shared" si="220"/>
        <v>0</v>
      </c>
      <c r="ES97" s="594"/>
      <c r="ET97" s="622"/>
      <c r="EU97" s="597" t="str">
        <f t="shared" si="221"/>
        <v>0</v>
      </c>
      <c r="EV97" s="598"/>
      <c r="EW97" s="599"/>
      <c r="EX97" s="596" t="str">
        <f t="shared" si="222"/>
        <v>0</v>
      </c>
      <c r="EY97" s="600"/>
      <c r="EZ97" s="600"/>
      <c r="FA97" s="596" t="str">
        <f t="shared" si="223"/>
        <v>0</v>
      </c>
      <c r="FB97" s="600"/>
      <c r="FC97" s="600"/>
      <c r="FD97" s="596" t="str">
        <f t="shared" si="224"/>
        <v>0</v>
      </c>
      <c r="FE97" s="600"/>
      <c r="FF97" s="600"/>
      <c r="FG97" s="596" t="str">
        <f t="shared" si="225"/>
        <v>0</v>
      </c>
      <c r="FH97" s="600"/>
      <c r="FI97" s="600"/>
      <c r="FJ97" s="596" t="str">
        <f t="shared" si="226"/>
        <v>0</v>
      </c>
      <c r="FK97" s="600"/>
      <c r="FL97" s="600"/>
      <c r="FM97" s="600"/>
      <c r="FN97" s="600"/>
      <c r="FO97" s="600">
        <f t="shared" si="227"/>
        <v>44562</v>
      </c>
      <c r="FP97" s="598">
        <f t="shared" si="228"/>
        <v>0</v>
      </c>
      <c r="FQ97" s="600"/>
      <c r="FR97" s="600">
        <f t="shared" si="229"/>
        <v>44593</v>
      </c>
      <c r="FS97" s="627"/>
      <c r="FT97" s="627"/>
      <c r="FU97" s="627"/>
      <c r="FV97" s="627"/>
      <c r="FW97" s="628">
        <f t="shared" si="230"/>
        <v>0</v>
      </c>
      <c r="FX97" s="628">
        <f t="shared" si="231"/>
        <v>1486.4333333333334</v>
      </c>
      <c r="FY97" s="624"/>
      <c r="FZ97" s="641"/>
      <c r="GA97" s="624"/>
      <c r="GB97" s="624"/>
      <c r="GC97" s="118"/>
      <c r="GD97" s="118"/>
      <c r="GE97" s="96">
        <f>+GO97+GS97+GZ97+HT97+HE97</f>
        <v>0</v>
      </c>
      <c r="GF97" s="70">
        <f>GP97+GT97+HA97+HT97+HB97+HE97</f>
        <v>0</v>
      </c>
      <c r="GG97" s="97">
        <f t="shared" si="233"/>
        <v>0</v>
      </c>
      <c r="GH97" s="52" t="e">
        <f t="shared" si="234"/>
        <v>#DIV/0!</v>
      </c>
      <c r="GI97" s="52">
        <f>GE97/AD97</f>
        <v>0</v>
      </c>
      <c r="GJ97" s="96"/>
      <c r="GK97" s="70"/>
      <c r="GL97" s="97">
        <f t="shared" si="235"/>
        <v>0</v>
      </c>
      <c r="GM97" s="138" t="e">
        <f t="shared" si="236"/>
        <v>#DIV/0!</v>
      </c>
      <c r="GN97" s="139">
        <v>0.4</v>
      </c>
      <c r="GO97" s="96"/>
      <c r="GP97" s="70"/>
      <c r="GQ97" s="52">
        <f>GO97/AD97</f>
        <v>0</v>
      </c>
      <c r="GR97" s="98"/>
      <c r="GS97" s="96"/>
      <c r="GT97" s="70">
        <f t="shared" si="243"/>
        <v>0</v>
      </c>
      <c r="GU97" s="90"/>
      <c r="GV97" s="90"/>
      <c r="GW97" s="98">
        <f t="shared" si="237"/>
        <v>0</v>
      </c>
      <c r="GX97" s="52">
        <f>GS97/AD97</f>
        <v>0</v>
      </c>
      <c r="GY97" s="70"/>
      <c r="GZ97" s="307"/>
      <c r="HA97" s="70"/>
      <c r="HB97" s="70"/>
      <c r="HC97" s="91" t="e">
        <f t="shared" si="238"/>
        <v>#DIV/0!</v>
      </c>
      <c r="HD97" s="96"/>
      <c r="HE97" s="70"/>
      <c r="HF97" s="92">
        <f t="shared" si="239"/>
        <v>0</v>
      </c>
      <c r="HG97" s="52">
        <f>GZ97/AD97</f>
        <v>0</v>
      </c>
      <c r="HH97" s="84">
        <f>(GO97+GZ97)/AD97</f>
        <v>0</v>
      </c>
      <c r="HI97" s="92">
        <f>HF97/AD97</f>
        <v>0</v>
      </c>
      <c r="HJ97" s="93">
        <v>6.31</v>
      </c>
      <c r="HK97" s="93"/>
      <c r="HL97" s="94"/>
      <c r="HM97" s="94"/>
      <c r="HN97" s="52">
        <f>(GO97+GZ97+HM97)/AD97</f>
        <v>0</v>
      </c>
      <c r="HO97" s="94"/>
      <c r="HP97" s="52">
        <f>(GP97+HA97+HM97+HO97)/AD97</f>
        <v>0</v>
      </c>
      <c r="HQ97" s="53" t="e">
        <f t="shared" si="240"/>
        <v>#DIV/0!</v>
      </c>
      <c r="HR97" s="94"/>
      <c r="HS97" s="94"/>
      <c r="HT97" s="70"/>
      <c r="HU97" s="99">
        <f t="shared" si="241"/>
        <v>0</v>
      </c>
      <c r="HV97" s="245"/>
      <c r="HW97" s="245">
        <f t="shared" si="242"/>
        <v>0</v>
      </c>
      <c r="HX97" s="119"/>
      <c r="HY97" s="342"/>
      <c r="HZ97" s="342"/>
      <c r="IA97" s="255"/>
      <c r="IB97" s="255"/>
      <c r="IC97" s="360"/>
      <c r="ID97" s="252"/>
      <c r="IE97" s="361"/>
      <c r="IF97" s="252"/>
      <c r="IG97" s="361"/>
      <c r="IH97" s="312"/>
      <c r="II97" s="362"/>
      <c r="IJ97" s="358"/>
      <c r="IK97" s="358"/>
      <c r="IL97" s="206"/>
      <c r="IM97" s="360"/>
      <c r="IN97" s="206"/>
      <c r="IO97" s="360"/>
      <c r="IP97" s="312"/>
      <c r="IQ97" s="312"/>
      <c r="IR97" s="312"/>
      <c r="IS97" s="312"/>
      <c r="IT97" s="289"/>
      <c r="IU97" s="289"/>
      <c r="IV97" s="289"/>
      <c r="IW97" s="289"/>
      <c r="IX97" s="289"/>
      <c r="IY97" s="289"/>
      <c r="IZ97" s="360"/>
      <c r="JA97" s="359"/>
      <c r="JB97" s="312"/>
      <c r="JC97" s="359"/>
      <c r="JD97" s="359"/>
      <c r="JE97" s="312"/>
    </row>
    <row r="98" spans="1:265" ht="24.95" customHeight="1">
      <c r="A98" s="507" t="s">
        <v>504</v>
      </c>
      <c r="B98" s="56" t="s">
        <v>46</v>
      </c>
      <c r="C98" s="56" t="s">
        <v>117</v>
      </c>
      <c r="D98" s="56">
        <v>2018</v>
      </c>
      <c r="E98" s="56"/>
      <c r="F98" s="56" t="s">
        <v>488</v>
      </c>
      <c r="G98" s="56" t="s">
        <v>189</v>
      </c>
      <c r="H98" s="56" t="s">
        <v>455</v>
      </c>
      <c r="I98" s="56"/>
      <c r="J98" s="56" t="s">
        <v>509</v>
      </c>
      <c r="K98" s="275" t="s">
        <v>548</v>
      </c>
      <c r="L98" s="178" t="s">
        <v>64</v>
      </c>
      <c r="M98" s="179" t="s">
        <v>527</v>
      </c>
      <c r="N98" s="180">
        <v>34319</v>
      </c>
      <c r="O98" s="245"/>
      <c r="P98" s="245"/>
      <c r="Q98" s="245"/>
      <c r="R98" s="245"/>
      <c r="S98" s="245"/>
      <c r="T98" s="719"/>
      <c r="U98" s="719"/>
      <c r="V98" s="719"/>
      <c r="W98" s="245"/>
      <c r="X98" s="220"/>
      <c r="Y98" s="221"/>
      <c r="Z98" s="220"/>
      <c r="AA98" s="220"/>
      <c r="AB98" s="221"/>
      <c r="AC98" s="56" t="s">
        <v>487</v>
      </c>
      <c r="AD98" s="345">
        <f t="shared" si="202"/>
        <v>34</v>
      </c>
      <c r="AE98" s="67"/>
      <c r="AF98" s="120"/>
      <c r="AG98" s="120"/>
      <c r="AH98" s="205">
        <v>34</v>
      </c>
      <c r="AI98" s="60"/>
      <c r="AJ98" s="95"/>
      <c r="AK98" s="60"/>
      <c r="AL98" s="81"/>
      <c r="AM98" s="81"/>
      <c r="AN98" s="81"/>
      <c r="AO98" s="81"/>
      <c r="AP98" s="81"/>
      <c r="AQ98" s="60"/>
      <c r="AR98" s="79"/>
      <c r="AS98" s="81"/>
      <c r="AT98" s="60"/>
      <c r="AU98" s="56"/>
      <c r="AV98" s="56"/>
      <c r="AW98" s="56"/>
      <c r="AX98" s="56"/>
      <c r="AY98" s="115"/>
      <c r="AZ98" s="115"/>
      <c r="BA98" s="100"/>
      <c r="BB98" s="216"/>
      <c r="BC98" s="102"/>
      <c r="BD98" s="102"/>
      <c r="BE98" s="216"/>
      <c r="BF98" s="102"/>
      <c r="BG98" s="172"/>
      <c r="BH98" s="215"/>
      <c r="BI98" s="172"/>
      <c r="BJ98" s="172"/>
      <c r="BK98" s="103"/>
      <c r="BL98" s="200">
        <f>DATE(YEAR(BK98),MONTH(BK98)+24,DAY(BK98))</f>
        <v>731</v>
      </c>
      <c r="BM98" s="200">
        <f>DATE(YEAR(BK98),MONTH(BK98)+36,DAY(BK98))</f>
        <v>1096</v>
      </c>
      <c r="BN98" s="200"/>
      <c r="BO98" s="172"/>
      <c r="BP98" s="177"/>
      <c r="BQ98" s="103"/>
      <c r="BR98" s="104"/>
      <c r="BS98" s="104"/>
      <c r="BT98" s="104"/>
      <c r="BU98" s="170"/>
      <c r="BV98" s="268"/>
      <c r="BW98" s="268"/>
      <c r="BX98" s="169"/>
      <c r="BY98" s="268"/>
      <c r="BZ98" s="268"/>
      <c r="CA98" s="268"/>
      <c r="CB98" s="450"/>
      <c r="CC98" s="450"/>
      <c r="CD98" s="509"/>
      <c r="CE98" s="384">
        <v>43480</v>
      </c>
      <c r="CF98" s="377"/>
      <c r="CG98" s="494">
        <f t="shared" si="203"/>
        <v>1449.3333333333333</v>
      </c>
      <c r="CH98" s="262">
        <v>12</v>
      </c>
      <c r="CI98" s="262">
        <f t="shared" si="204"/>
        <v>13</v>
      </c>
      <c r="CJ98" s="257">
        <f t="shared" si="205"/>
        <v>13</v>
      </c>
      <c r="CK98" s="257">
        <f t="shared" si="206"/>
        <v>15</v>
      </c>
      <c r="CL98" s="257">
        <f t="shared" si="207"/>
        <v>1</v>
      </c>
      <c r="CM98" s="257">
        <f t="shared" si="208"/>
        <v>2</v>
      </c>
      <c r="CN98" s="263"/>
      <c r="CO98" s="263">
        <f t="shared" si="209"/>
        <v>0</v>
      </c>
      <c r="CP98" s="258"/>
      <c r="CQ98" s="699">
        <f t="shared" si="210"/>
        <v>43845</v>
      </c>
      <c r="CR98" s="391">
        <f>DATE(YEAR(CE98),MONTH(CE98)+CH98+1,DAY(CE98))</f>
        <v>43876</v>
      </c>
      <c r="CS98" s="388"/>
      <c r="CT98" s="258"/>
      <c r="CU98" s="258"/>
      <c r="CV98" s="650">
        <f t="shared" si="212"/>
        <v>43905</v>
      </c>
      <c r="CW98" s="506">
        <f>DATE(YEAR(CV98),MONTH(CV98)+1,DAY(CV98))</f>
        <v>43936</v>
      </c>
      <c r="CX98" s="654"/>
      <c r="CY98" s="123"/>
      <c r="CZ98" s="127"/>
      <c r="DA98" s="127"/>
      <c r="DB98" s="127"/>
      <c r="DC98" s="127"/>
      <c r="DD98" s="127"/>
      <c r="DE98" s="56"/>
      <c r="DF98" s="56"/>
      <c r="DG98" s="56"/>
      <c r="DH98" s="56"/>
      <c r="DI98" s="56"/>
      <c r="DJ98" s="56"/>
      <c r="DK98" s="56"/>
      <c r="DL98" s="56"/>
      <c r="DM98" s="56"/>
      <c r="DN98" s="56"/>
      <c r="DO98" s="56"/>
      <c r="DP98" s="56"/>
      <c r="DQ98" s="56"/>
      <c r="DR98" s="56"/>
      <c r="DS98" s="610">
        <v>42927</v>
      </c>
      <c r="DT98" s="613"/>
      <c r="DU98" s="613"/>
      <c r="DV98" s="615" t="str">
        <f t="shared" si="213"/>
        <v>0</v>
      </c>
      <c r="DW98" s="613">
        <v>43067</v>
      </c>
      <c r="DX98" s="613">
        <f ca="1">IF(DW98&lt;TODAY(),TODAY(),DW98)</f>
        <v>43163</v>
      </c>
      <c r="DY98" s="615">
        <f t="shared" ca="1" si="214"/>
        <v>96</v>
      </c>
      <c r="DZ98" s="613">
        <v>43046</v>
      </c>
      <c r="EA98" s="613">
        <f ca="1">IF(DZ98&lt;TODAY(),TODAY(),DZ98)</f>
        <v>43163</v>
      </c>
      <c r="EB98" s="615">
        <f t="shared" ca="1" si="215"/>
        <v>117</v>
      </c>
      <c r="EC98" s="613">
        <v>43126</v>
      </c>
      <c r="ED98" s="613">
        <f ca="1">IF(EC98&lt;TODAY(),TODAY(),EC98)</f>
        <v>43163</v>
      </c>
      <c r="EE98" s="615">
        <f t="shared" ca="1" si="216"/>
        <v>37</v>
      </c>
      <c r="EF98" s="613">
        <v>43187</v>
      </c>
      <c r="EG98" s="613">
        <f ca="1">IF(EF98&lt;TODAY(),TODAY(),EF98)</f>
        <v>43187</v>
      </c>
      <c r="EH98" s="615">
        <f t="shared" ca="1" si="217"/>
        <v>0</v>
      </c>
      <c r="EI98" s="618"/>
      <c r="EJ98" s="594">
        <v>43630</v>
      </c>
      <c r="EK98" s="600">
        <f ca="1">IF(EJ98&lt;TODAY(),TODAY(),EJ98)</f>
        <v>43630</v>
      </c>
      <c r="EL98" s="596">
        <f t="shared" ca="1" si="218"/>
        <v>0</v>
      </c>
      <c r="EM98" s="594">
        <v>43647</v>
      </c>
      <c r="EN98" s="600">
        <f ca="1">IF(EM98&lt;TODAY(),TODAY(),EM98)</f>
        <v>43647</v>
      </c>
      <c r="EO98" s="596">
        <f t="shared" ca="1" si="219"/>
        <v>0</v>
      </c>
      <c r="EP98" s="594"/>
      <c r="EQ98" s="600">
        <f ca="1">IF(EP98&lt;TODAY(),TODAY(),EP98)</f>
        <v>43163</v>
      </c>
      <c r="ER98" s="596" t="str">
        <f t="shared" ca="1" si="220"/>
        <v>0</v>
      </c>
      <c r="ES98" s="594"/>
      <c r="ET98" s="622">
        <f ca="1">IF(ES98&lt;TODAY(),TODAY(),ES98)</f>
        <v>43163</v>
      </c>
      <c r="EU98" s="597" t="str">
        <f t="shared" ca="1" si="221"/>
        <v>0</v>
      </c>
      <c r="EV98" s="598"/>
      <c r="EW98" s="600">
        <f ca="1">IF(EV98&lt;TODAY(),TODAY(),EV98)</f>
        <v>43163</v>
      </c>
      <c r="EX98" s="596" t="str">
        <f t="shared" ca="1" si="222"/>
        <v>0</v>
      </c>
      <c r="EY98" s="600"/>
      <c r="EZ98" s="600">
        <f ca="1">IF(EY98&lt;TODAY(),TODAY(),EY98)</f>
        <v>43163</v>
      </c>
      <c r="FA98" s="596" t="str">
        <f t="shared" ca="1" si="223"/>
        <v>0</v>
      </c>
      <c r="FB98" s="600"/>
      <c r="FC98" s="600">
        <f ca="1">IF(FB98&lt;TODAY(),TODAY(),FB98)</f>
        <v>43163</v>
      </c>
      <c r="FD98" s="596" t="str">
        <f t="shared" ca="1" si="224"/>
        <v>0</v>
      </c>
      <c r="FE98" s="600"/>
      <c r="FF98" s="600">
        <f ca="1">IF(FE98&lt;TODAY(),TODAY(),FE98)</f>
        <v>43163</v>
      </c>
      <c r="FG98" s="596" t="str">
        <f t="shared" ca="1" si="225"/>
        <v>0</v>
      </c>
      <c r="FH98" s="600"/>
      <c r="FI98" s="600">
        <f ca="1">IF(FH98&lt;TODAY(),TODAY(),FH98)</f>
        <v>43163</v>
      </c>
      <c r="FJ98" s="596" t="str">
        <f t="shared" ca="1" si="226"/>
        <v>0</v>
      </c>
      <c r="FK98" s="600"/>
      <c r="FL98" s="600"/>
      <c r="FM98" s="600"/>
      <c r="FN98" s="600">
        <v>43811</v>
      </c>
      <c r="FO98" s="600">
        <f t="shared" si="227"/>
        <v>43876</v>
      </c>
      <c r="FP98" s="598">
        <f t="shared" ca="1" si="228"/>
        <v>5.4666666666666668</v>
      </c>
      <c r="FQ98" s="600">
        <v>44407</v>
      </c>
      <c r="FR98" s="600">
        <f t="shared" si="229"/>
        <v>43936</v>
      </c>
      <c r="FS98" s="627">
        <v>0</v>
      </c>
      <c r="FT98" s="627">
        <v>0</v>
      </c>
      <c r="FU98" s="627"/>
      <c r="FV98" s="627"/>
      <c r="FW98" s="628">
        <f t="shared" ca="1" si="230"/>
        <v>8.3333333333333339</v>
      </c>
      <c r="FX98" s="628">
        <f t="shared" si="231"/>
        <v>-15.7</v>
      </c>
      <c r="FY98" s="624"/>
      <c r="FZ98" s="641"/>
      <c r="GA98" s="624" t="s">
        <v>837</v>
      </c>
      <c r="GB98" s="624"/>
      <c r="GC98" s="118"/>
      <c r="GD98" s="118"/>
      <c r="GE98" s="96">
        <f>+GO98+GS98+GZ98+HT98+HE98+HD98</f>
        <v>842164</v>
      </c>
      <c r="GF98" s="96">
        <f>GP98+GT98+HA98+HT98+HB98+HE98</f>
        <v>0</v>
      </c>
      <c r="GG98" s="96">
        <f t="shared" si="233"/>
        <v>-842164</v>
      </c>
      <c r="GH98" s="96" t="e">
        <f t="shared" si="234"/>
        <v>#DIV/0!</v>
      </c>
      <c r="GI98" s="329">
        <f>GE98/AH98</f>
        <v>24769.529411764706</v>
      </c>
      <c r="GJ98" s="96"/>
      <c r="GK98" s="96"/>
      <c r="GL98" s="96">
        <f t="shared" si="235"/>
        <v>0</v>
      </c>
      <c r="GM98" s="96" t="e">
        <f t="shared" si="236"/>
        <v>#DIV/0!</v>
      </c>
      <c r="GN98" s="329">
        <v>0.4</v>
      </c>
      <c r="GO98" s="96"/>
      <c r="GP98" s="96"/>
      <c r="GQ98" s="96">
        <f>GO98/AH98</f>
        <v>0</v>
      </c>
      <c r="GR98" s="96"/>
      <c r="GS98" s="692">
        <f>629664-HD98</f>
        <v>289664</v>
      </c>
      <c r="GT98" s="96">
        <f t="shared" si="243"/>
        <v>0</v>
      </c>
      <c r="GU98" s="96"/>
      <c r="GV98" s="96"/>
      <c r="GW98" s="96">
        <f t="shared" si="237"/>
        <v>-289664</v>
      </c>
      <c r="GX98" s="329">
        <f>GS98/AH98</f>
        <v>8519.5294117647063</v>
      </c>
      <c r="GY98" s="96"/>
      <c r="GZ98" s="96">
        <v>212500</v>
      </c>
      <c r="HA98" s="96"/>
      <c r="HB98" s="96"/>
      <c r="HC98" s="329">
        <f t="shared" si="238"/>
        <v>0.25232615025102001</v>
      </c>
      <c r="HD98" s="96">
        <v>340000</v>
      </c>
      <c r="HE98" s="70"/>
      <c r="HF98" s="92">
        <f t="shared" si="239"/>
        <v>-212500</v>
      </c>
      <c r="HG98" s="52">
        <f>GZ98/AH98</f>
        <v>6250</v>
      </c>
      <c r="HH98" s="84">
        <f>(GO98+GZ98)/AH98</f>
        <v>6250</v>
      </c>
      <c r="HI98" s="426">
        <f>HF98/AH98</f>
        <v>-6250</v>
      </c>
      <c r="HJ98" s="430">
        <v>6.31</v>
      </c>
      <c r="HK98" s="430"/>
      <c r="HL98" s="426"/>
      <c r="HM98" s="426"/>
      <c r="HN98" s="426">
        <f>(GO98+GZ98+HM98)/AH98</f>
        <v>6250</v>
      </c>
      <c r="HO98" s="426"/>
      <c r="HP98" s="426">
        <f>(GP98+HA98+HM98+HO98)/AH98</f>
        <v>0</v>
      </c>
      <c r="HQ98" s="112">
        <f t="shared" si="240"/>
        <v>0.25232615025102001</v>
      </c>
      <c r="HR98" s="426"/>
      <c r="HS98" s="426"/>
      <c r="HT98" s="426"/>
      <c r="HU98" s="434">
        <f t="shared" si="241"/>
        <v>842164</v>
      </c>
      <c r="HV98" s="296"/>
      <c r="HW98" s="296">
        <f t="shared" si="242"/>
        <v>0</v>
      </c>
      <c r="HX98" s="297"/>
      <c r="HY98" s="300">
        <v>0</v>
      </c>
      <c r="HZ98" s="300"/>
      <c r="IA98" s="272"/>
      <c r="IB98" s="272"/>
      <c r="IC98" s="424">
        <v>0</v>
      </c>
      <c r="ID98" s="281"/>
      <c r="IE98" s="293">
        <v>0</v>
      </c>
      <c r="IF98" s="281"/>
      <c r="IG98" s="523"/>
      <c r="IH98" s="298"/>
      <c r="II98" s="303"/>
      <c r="IJ98" s="301"/>
      <c r="IK98" s="301"/>
      <c r="IL98" s="295"/>
      <c r="IM98" s="300"/>
      <c r="IN98" s="295"/>
      <c r="IO98" s="300"/>
      <c r="IP98" s="326"/>
      <c r="IQ98" s="326"/>
      <c r="IR98" s="326"/>
      <c r="IS98" s="326"/>
      <c r="IT98" s="289"/>
      <c r="IU98" s="289"/>
      <c r="IV98" s="289"/>
      <c r="IW98" s="289"/>
      <c r="IX98" s="289"/>
      <c r="IY98" s="289"/>
      <c r="IZ98" s="300" t="e">
        <f>$IZ$1*HV98</f>
        <v>#VALUE!</v>
      </c>
      <c r="JA98" s="123"/>
      <c r="JB98" s="298"/>
      <c r="JC98" s="123"/>
      <c r="JD98" s="123"/>
      <c r="JE98" s="298"/>
    </row>
    <row r="99" spans="1:265" ht="24.95" customHeight="1">
      <c r="A99" s="89" t="s">
        <v>451</v>
      </c>
      <c r="B99" s="56" t="s">
        <v>35</v>
      </c>
      <c r="C99" s="56" t="s">
        <v>117</v>
      </c>
      <c r="D99" s="56">
        <v>2021</v>
      </c>
      <c r="E99" s="56"/>
      <c r="F99" s="56" t="s">
        <v>423</v>
      </c>
      <c r="G99" s="56"/>
      <c r="H99" s="56" t="s">
        <v>253</v>
      </c>
      <c r="I99" s="56"/>
      <c r="J99" s="56" t="s">
        <v>452</v>
      </c>
      <c r="K99" s="275" t="s">
        <v>583</v>
      </c>
      <c r="L99" s="178"/>
      <c r="M99" s="179"/>
      <c r="N99" s="180"/>
      <c r="O99" s="219">
        <v>12700</v>
      </c>
      <c r="P99" s="219">
        <v>787400</v>
      </c>
      <c r="Q99" s="219"/>
      <c r="R99" s="219">
        <f>P99/AD99</f>
        <v>27151.724137931036</v>
      </c>
      <c r="S99" s="219">
        <f>P99/O99</f>
        <v>62</v>
      </c>
      <c r="T99" s="225">
        <f>Q99/O99</f>
        <v>0</v>
      </c>
      <c r="U99" s="225" t="e">
        <f>Q99/AJ99</f>
        <v>#DIV/0!</v>
      </c>
      <c r="V99" s="225">
        <f>Q99/AD99</f>
        <v>0</v>
      </c>
      <c r="W99" s="219">
        <f>O99/AD99</f>
        <v>437.93103448275861</v>
      </c>
      <c r="X99" s="220"/>
      <c r="Y99" s="221">
        <f>AJ99/O99</f>
        <v>0</v>
      </c>
      <c r="Z99" s="220"/>
      <c r="AA99" s="220"/>
      <c r="AB99" s="221"/>
      <c r="AC99" s="56" t="s">
        <v>16</v>
      </c>
      <c r="AD99" s="345">
        <f t="shared" ref="AD99:AD103" si="252">SUM(AE99:AH99)</f>
        <v>29</v>
      </c>
      <c r="AE99" s="67"/>
      <c r="AF99" s="56">
        <v>29</v>
      </c>
      <c r="AG99" s="8"/>
      <c r="AH99" s="67"/>
      <c r="AI99" s="60">
        <v>2492.9699999999998</v>
      </c>
      <c r="AJ99" s="95"/>
      <c r="AK99" s="60">
        <f>AJ99/AD99</f>
        <v>0</v>
      </c>
      <c r="AL99" s="81"/>
      <c r="AM99" s="81"/>
      <c r="AN99" s="81"/>
      <c r="AO99" s="81"/>
      <c r="AP99" s="81"/>
      <c r="AQ99" s="60"/>
      <c r="AR99" s="79"/>
      <c r="AS99" s="81"/>
      <c r="AT99" s="60"/>
      <c r="AU99" s="56"/>
      <c r="AV99" s="56"/>
      <c r="AW99" s="252"/>
      <c r="AX99" s="56"/>
      <c r="AY99" s="115"/>
      <c r="AZ99" s="115"/>
      <c r="BA99" s="100"/>
      <c r="BB99" s="216"/>
      <c r="BC99" s="102"/>
      <c r="BD99" s="102"/>
      <c r="BE99" s="216"/>
      <c r="BF99" s="102"/>
      <c r="BG99" s="172"/>
      <c r="BH99" s="215"/>
      <c r="BI99" s="172"/>
      <c r="BJ99" s="172"/>
      <c r="BK99" s="103"/>
      <c r="BL99" s="200">
        <f>DATE(YEAR(BK99),MONTH(BK99)+24,DAY(BK99))</f>
        <v>731</v>
      </c>
      <c r="BM99" s="200">
        <f>DATE(YEAR(BK99),MONTH(BK99)+36,DAY(BK99))</f>
        <v>1096</v>
      </c>
      <c r="BN99" s="200"/>
      <c r="BO99" s="172"/>
      <c r="BP99" s="177"/>
      <c r="BQ99" s="103"/>
      <c r="BR99" s="104"/>
      <c r="BS99" s="104"/>
      <c r="BT99" s="104"/>
      <c r="BU99" s="170"/>
      <c r="BV99" s="268"/>
      <c r="BW99" s="268"/>
      <c r="BX99" s="169"/>
      <c r="BY99" s="268"/>
      <c r="BZ99" s="268"/>
      <c r="CA99" s="268"/>
      <c r="CB99" s="268" t="s">
        <v>177</v>
      </c>
      <c r="CC99" s="682"/>
      <c r="CD99" s="509"/>
      <c r="CE99" s="384">
        <v>44593</v>
      </c>
      <c r="CF99" s="377"/>
      <c r="CG99" s="494">
        <f t="shared" si="159"/>
        <v>1486.4333333333334</v>
      </c>
      <c r="CH99" s="262">
        <v>18</v>
      </c>
      <c r="CI99" s="262">
        <f t="shared" ref="CI99" si="253">CH99+1</f>
        <v>19</v>
      </c>
      <c r="CJ99" s="257">
        <f t="shared" si="160"/>
        <v>18</v>
      </c>
      <c r="CK99" s="257">
        <f t="shared" si="161"/>
        <v>19</v>
      </c>
      <c r="CL99" s="257">
        <f t="shared" ref="CL99:CL103" si="254">DATEDIF(CQ99,CR99,"M")</f>
        <v>0</v>
      </c>
      <c r="CM99" s="257">
        <f t="shared" si="163"/>
        <v>0</v>
      </c>
      <c r="CN99" s="263"/>
      <c r="CO99" s="263">
        <f t="shared" si="182"/>
        <v>0</v>
      </c>
      <c r="CP99" s="258"/>
      <c r="CQ99" s="699">
        <f t="shared" ref="CQ99:CQ103" si="255">DATE(YEAR(CE99),MONTH(CE99)+CH99,DAY(CE99))</f>
        <v>45139</v>
      </c>
      <c r="CR99" s="391">
        <f>DATE(YEAR(CE99),MONTH(CE99)+CH99,DAY(CE99))</f>
        <v>45139</v>
      </c>
      <c r="CS99" s="388">
        <f>DATE(YEAR(CA99)+2,MONTH(CA99),DAY(CA99))</f>
        <v>731</v>
      </c>
      <c r="CT99" s="258"/>
      <c r="CU99" s="258"/>
      <c r="CV99" s="650">
        <f t="shared" si="132"/>
        <v>45170</v>
      </c>
      <c r="CW99" s="506">
        <f>CV99</f>
        <v>45170</v>
      </c>
      <c r="CX99" s="654"/>
      <c r="CY99" s="123"/>
      <c r="CZ99" s="127"/>
      <c r="DA99" s="127"/>
      <c r="DB99" s="127"/>
      <c r="DC99" s="127"/>
      <c r="DD99" s="127"/>
      <c r="DE99" s="56"/>
      <c r="DF99" s="56"/>
      <c r="DG99" s="56"/>
      <c r="DH99" s="56"/>
      <c r="DI99" s="56"/>
      <c r="DJ99" s="56"/>
      <c r="DK99" s="56"/>
      <c r="DL99" s="56"/>
      <c r="DM99" s="56"/>
      <c r="DN99" s="56"/>
      <c r="DO99" s="56"/>
      <c r="DP99" s="56"/>
      <c r="DQ99" s="56"/>
      <c r="DR99" s="56"/>
      <c r="DS99" s="610"/>
      <c r="DT99" s="611"/>
      <c r="DU99" s="611"/>
      <c r="DV99" s="612"/>
      <c r="DW99" s="613"/>
      <c r="DX99" s="613"/>
      <c r="DY99" s="615" t="str">
        <f t="shared" ref="DY99:DY103" si="256">IF(AND(DW99&gt;0,DX99&gt;0),DX99-DW99,"0")</f>
        <v>0</v>
      </c>
      <c r="DZ99" s="616"/>
      <c r="EA99" s="610"/>
      <c r="EB99" s="615" t="str">
        <f t="shared" ref="EB99:EB103" si="257">IF(AND(DZ99&gt;0,EA99&gt;0),EA99-DZ99,"0")</f>
        <v>0</v>
      </c>
      <c r="EC99" s="616"/>
      <c r="ED99" s="610"/>
      <c r="EE99" s="615" t="str">
        <f t="shared" ref="EE99:EE103" si="258">IF(AND(EC99&gt;0,ED99&gt;0),ED99-EC99,"0")</f>
        <v>0</v>
      </c>
      <c r="EF99" s="616"/>
      <c r="EG99" s="617"/>
      <c r="EH99" s="615" t="str">
        <f t="shared" ref="EH99:EH103" si="259">IF(AND(EF99&gt;0,EG99&gt;0),EG99-EF99,"0")</f>
        <v>0</v>
      </c>
      <c r="EI99" s="618"/>
      <c r="EJ99" s="594"/>
      <c r="EK99" s="595"/>
      <c r="EL99" s="596" t="str">
        <f t="shared" ref="EL99:EL103" si="260">IF(AND(EJ99&gt;0,EK99&gt;0),EK99-EJ99,"0")</f>
        <v>0</v>
      </c>
      <c r="EM99" s="594"/>
      <c r="EN99" s="595"/>
      <c r="EO99" s="596" t="str">
        <f t="shared" ref="EO99:EO103" si="261">IF(AND(EM99&gt;0,EN99&gt;0),EN99-EM99,"0")</f>
        <v>0</v>
      </c>
      <c r="EP99" s="594"/>
      <c r="EQ99" s="595"/>
      <c r="ER99" s="596" t="str">
        <f t="shared" ref="ER99:ER103" si="262">IF(AND(EP99&gt;0,EQ99&gt;0),EQ99-EP99,"0")</f>
        <v>0</v>
      </c>
      <c r="ES99" s="594"/>
      <c r="ET99" s="622"/>
      <c r="EU99" s="597" t="str">
        <f t="shared" ref="EU99:EU103" si="263">IF(AND(ES99&gt;0,ET99&gt;0),ET99-ES99,"0")</f>
        <v>0</v>
      </c>
      <c r="EV99" s="598"/>
      <c r="EW99" s="599"/>
      <c r="EX99" s="596" t="str">
        <f t="shared" ref="EX99:EX103" si="264">IF(AND(EV99&gt;0,EW99&gt;0),EW99-EV99,"0")</f>
        <v>0</v>
      </c>
      <c r="EY99" s="601"/>
      <c r="EZ99" s="600"/>
      <c r="FA99" s="596" t="str">
        <f t="shared" ref="FA99:FA103" si="265">IF(AND(EY99&gt;0,EZ99&gt;0),EZ99-EY99,"0")</f>
        <v>0</v>
      </c>
      <c r="FB99" s="602"/>
      <c r="FC99" s="602"/>
      <c r="FD99" s="596" t="str">
        <f t="shared" ref="FD99:FD103" si="266">IF(AND(FB99&gt;0,FC99&gt;0),FC99-FB99,"0")</f>
        <v>0</v>
      </c>
      <c r="FE99" s="602"/>
      <c r="FF99" s="602"/>
      <c r="FG99" s="596" t="str">
        <f t="shared" ref="FG99:FG103" si="267">IF(AND(FE99&gt;0,FF99&gt;0),FF99-FE99,"0")</f>
        <v>0</v>
      </c>
      <c r="FH99" s="602"/>
      <c r="FI99" s="602"/>
      <c r="FJ99" s="596" t="str">
        <f t="shared" ref="FJ99:FJ103" si="268">IF(AND(FH99&gt;0,FI99&gt;0),FI99-FH99,"0")</f>
        <v>0</v>
      </c>
      <c r="FK99" s="602"/>
      <c r="FL99" s="602"/>
      <c r="FM99" s="602"/>
      <c r="FN99" s="602"/>
      <c r="FO99" s="600">
        <f t="shared" si="187"/>
        <v>45139</v>
      </c>
      <c r="FP99" s="598">
        <f t="shared" si="144"/>
        <v>0</v>
      </c>
      <c r="FQ99" s="602"/>
      <c r="FR99" s="600">
        <f t="shared" si="188"/>
        <v>45170</v>
      </c>
      <c r="FS99" s="627"/>
      <c r="FT99" s="627"/>
      <c r="FU99" s="627"/>
      <c r="FV99" s="627"/>
      <c r="FW99" s="628">
        <f t="shared" ref="FW99:FW103" si="269">(DV99+DY99+EB99+EE99+EH99+EL99+EO99)/30</f>
        <v>0</v>
      </c>
      <c r="FX99" s="628">
        <f t="shared" ref="FX99:FX103" si="270">(FR99-FQ99)/30</f>
        <v>1505.6666666666667</v>
      </c>
      <c r="FY99" s="624"/>
      <c r="FZ99" s="641"/>
      <c r="GA99" s="624"/>
      <c r="GB99" s="624"/>
      <c r="GC99" s="118"/>
      <c r="GD99" s="118"/>
      <c r="GE99" s="96">
        <f>+GO99+GS99+GZ99+HT99+HE99</f>
        <v>0</v>
      </c>
      <c r="GF99" s="70">
        <f t="shared" ref="GF99:GF103" si="271">GP99+GT99+HA99+HT99+HB99+HE99</f>
        <v>0</v>
      </c>
      <c r="GG99" s="97">
        <f t="shared" si="190"/>
        <v>0</v>
      </c>
      <c r="GH99" s="52">
        <f t="shared" si="145"/>
        <v>0</v>
      </c>
      <c r="GI99" s="52">
        <f>GE99/AD99</f>
        <v>0</v>
      </c>
      <c r="GJ99" s="96"/>
      <c r="GK99" s="70"/>
      <c r="GL99" s="97">
        <f t="shared" si="191"/>
        <v>0</v>
      </c>
      <c r="GM99" s="138" t="e">
        <f t="shared" si="192"/>
        <v>#DIV/0!</v>
      </c>
      <c r="GN99" s="138">
        <v>0.4</v>
      </c>
      <c r="GO99" s="96"/>
      <c r="GP99" s="70"/>
      <c r="GQ99" s="52">
        <f>GO99/AD99</f>
        <v>0</v>
      </c>
      <c r="GR99" s="98"/>
      <c r="GS99" s="96"/>
      <c r="GT99" s="70">
        <f t="shared" si="243"/>
        <v>0</v>
      </c>
      <c r="GU99" s="90"/>
      <c r="GV99" s="90"/>
      <c r="GW99" s="98">
        <f t="shared" si="193"/>
        <v>0</v>
      </c>
      <c r="GX99" s="52">
        <f>GS99/AD99</f>
        <v>0</v>
      </c>
      <c r="GY99" s="70"/>
      <c r="GZ99" s="96"/>
      <c r="HA99" s="70"/>
      <c r="HB99" s="70"/>
      <c r="HC99" s="91" t="e">
        <f t="shared" si="149"/>
        <v>#DIV/0!</v>
      </c>
      <c r="HD99" s="96"/>
      <c r="HE99" s="70"/>
      <c r="HF99" s="92">
        <f t="shared" ref="HF99" si="272">HA99-GZ99</f>
        <v>0</v>
      </c>
      <c r="HG99" s="52">
        <f>GZ99/AD99</f>
        <v>0</v>
      </c>
      <c r="HH99" s="84">
        <f>(GO99+GZ99)/AD99</f>
        <v>0</v>
      </c>
      <c r="HI99" s="92">
        <f>HF99/AD99</f>
        <v>0</v>
      </c>
      <c r="HJ99" s="93">
        <v>6.31</v>
      </c>
      <c r="HK99" s="93"/>
      <c r="HL99" s="94"/>
      <c r="HM99" s="94"/>
      <c r="HN99" s="52">
        <f>(GO99+GZ99+HM99)/AD99</f>
        <v>0</v>
      </c>
      <c r="HO99" s="94"/>
      <c r="HP99" s="52">
        <f>(GP99+HA99+HM99+HO99)/AD99</f>
        <v>0</v>
      </c>
      <c r="HQ99" s="53" t="e">
        <f t="shared" si="138"/>
        <v>#DIV/0!</v>
      </c>
      <c r="HR99" s="94"/>
      <c r="HS99" s="94"/>
      <c r="HT99" s="70"/>
      <c r="HU99" s="99">
        <f t="shared" si="157"/>
        <v>0</v>
      </c>
      <c r="HV99" s="296">
        <v>192726</v>
      </c>
      <c r="HW99" s="296">
        <f t="shared" ref="HW99:HW103" si="273">HY99+IA99+IC99+IE99+IG99+II99+IK99+IM99+IO99+IQ99+IS99+IU99+IW99+IY99+JA99+JC99+JE99</f>
        <v>67454.500000000015</v>
      </c>
      <c r="HX99" s="297">
        <v>42579</v>
      </c>
      <c r="HY99" s="304">
        <v>19273</v>
      </c>
      <c r="HZ99" s="304"/>
      <c r="IA99" s="308"/>
      <c r="IB99" s="308"/>
      <c r="IC99" s="521">
        <v>9636.3000000000011</v>
      </c>
      <c r="ID99" s="255"/>
      <c r="IE99" s="293">
        <v>19272.600000000002</v>
      </c>
      <c r="IF99" s="272"/>
      <c r="IG99" s="523">
        <v>19272.600000000002</v>
      </c>
      <c r="IH99" s="298"/>
      <c r="II99" s="303">
        <v>0</v>
      </c>
      <c r="IJ99" s="301"/>
      <c r="IK99" s="301"/>
      <c r="IL99" s="295"/>
      <c r="IM99" s="300"/>
      <c r="IN99" s="295"/>
      <c r="IO99" s="300"/>
      <c r="IP99" s="326"/>
      <c r="IQ99" s="326"/>
      <c r="IR99" s="326"/>
      <c r="IS99" s="326"/>
      <c r="IT99" s="289"/>
      <c r="IU99" s="289"/>
      <c r="IV99" s="289"/>
      <c r="IW99" s="289"/>
      <c r="IX99" s="289"/>
      <c r="IY99" s="289"/>
      <c r="IZ99" s="300" t="e">
        <f>$IZ$1*HV99</f>
        <v>#VALUE!</v>
      </c>
      <c r="JA99" s="123"/>
      <c r="JB99" s="298"/>
      <c r="JC99" s="123"/>
      <c r="JD99" s="123"/>
      <c r="JE99" s="298"/>
    </row>
    <row r="100" spans="1:265" ht="35.1" customHeight="1">
      <c r="A100" s="89" t="s">
        <v>751</v>
      </c>
      <c r="B100" s="56" t="s">
        <v>483</v>
      </c>
      <c r="C100" s="56" t="s">
        <v>118</v>
      </c>
      <c r="D100" s="56">
        <v>2019</v>
      </c>
      <c r="E100" s="56"/>
      <c r="F100" s="56"/>
      <c r="G100" s="56"/>
      <c r="H100" s="58" t="s">
        <v>253</v>
      </c>
      <c r="I100" s="56"/>
      <c r="J100" s="56"/>
      <c r="K100" s="275"/>
      <c r="L100" s="178"/>
      <c r="M100" s="179"/>
      <c r="N100" s="180"/>
      <c r="O100" s="219"/>
      <c r="P100" s="219"/>
      <c r="Q100" s="219"/>
      <c r="R100" s="219"/>
      <c r="S100" s="219" t="e">
        <f>P100/O100</f>
        <v>#DIV/0!</v>
      </c>
      <c r="T100" s="225" t="e">
        <f>Q100/O100</f>
        <v>#DIV/0!</v>
      </c>
      <c r="U100" s="225" t="e">
        <f>Q100/AJ100</f>
        <v>#DIV/0!</v>
      </c>
      <c r="V100" s="225">
        <f>Q100/AD100</f>
        <v>0</v>
      </c>
      <c r="W100" s="219">
        <f>O100/AD100</f>
        <v>0</v>
      </c>
      <c r="X100" s="220"/>
      <c r="Y100" s="221"/>
      <c r="Z100" s="220"/>
      <c r="AA100" s="220"/>
      <c r="AB100" s="221"/>
      <c r="AC100" s="56" t="s">
        <v>480</v>
      </c>
      <c r="AD100" s="345">
        <f t="shared" si="252"/>
        <v>60</v>
      </c>
      <c r="AE100" s="67"/>
      <c r="AF100" s="67"/>
      <c r="AG100" s="56">
        <v>60</v>
      </c>
      <c r="AH100" s="56"/>
      <c r="AI100" s="60"/>
      <c r="AJ100" s="95"/>
      <c r="AK100" s="9"/>
      <c r="AL100" s="81"/>
      <c r="AM100" s="81"/>
      <c r="AN100" s="81"/>
      <c r="AO100" s="81"/>
      <c r="AP100" s="81"/>
      <c r="AQ100" s="60"/>
      <c r="AR100" s="79"/>
      <c r="AS100" s="81"/>
      <c r="AT100" s="60"/>
      <c r="AU100" s="59"/>
      <c r="AV100" s="56"/>
      <c r="AW100" s="253"/>
      <c r="AX100" s="196"/>
      <c r="AY100" s="115"/>
      <c r="AZ100" s="115"/>
      <c r="BA100" s="100"/>
      <c r="BB100" s="216"/>
      <c r="BC100" s="102"/>
      <c r="BD100" s="102"/>
      <c r="BE100" s="216"/>
      <c r="BF100" s="102"/>
      <c r="BG100" s="172"/>
      <c r="BH100" s="215"/>
      <c r="BI100" s="172"/>
      <c r="BJ100" s="172"/>
      <c r="BK100" s="103"/>
      <c r="BL100" s="200"/>
      <c r="BM100" s="200"/>
      <c r="BN100" s="200"/>
      <c r="BO100" s="172"/>
      <c r="BP100" s="177"/>
      <c r="BQ100" s="103"/>
      <c r="BR100" s="104"/>
      <c r="BS100" s="104"/>
      <c r="BT100" s="104"/>
      <c r="BU100" s="170"/>
      <c r="BV100" s="268"/>
      <c r="BW100" s="268"/>
      <c r="BX100" s="169"/>
      <c r="BY100" s="268"/>
      <c r="BZ100" s="268"/>
      <c r="CA100" s="268"/>
      <c r="CB100" s="268"/>
      <c r="CC100" s="681">
        <f>DATEDIF(CW100,CB100,"M")</f>
        <v>0</v>
      </c>
      <c r="CD100" s="509"/>
      <c r="CE100" s="384"/>
      <c r="CF100" s="377"/>
      <c r="CG100" s="494"/>
      <c r="CH100" s="262"/>
      <c r="CI100" s="262"/>
      <c r="CJ100" s="257"/>
      <c r="CK100" s="257"/>
      <c r="CL100" s="257">
        <f t="shared" si="254"/>
        <v>0</v>
      </c>
      <c r="CM100" s="257"/>
      <c r="CN100" s="263"/>
      <c r="CO100" s="263"/>
      <c r="CP100" s="258"/>
      <c r="CQ100" s="699">
        <f t="shared" si="255"/>
        <v>0</v>
      </c>
      <c r="CR100" s="391"/>
      <c r="CS100" s="388"/>
      <c r="CT100" s="258"/>
      <c r="CU100" s="258"/>
      <c r="CV100" s="650"/>
      <c r="CW100" s="506"/>
      <c r="CX100" s="654"/>
      <c r="CY100" s="123"/>
      <c r="CZ100" s="127"/>
      <c r="DA100" s="127"/>
      <c r="DB100" s="127"/>
      <c r="DC100" s="127"/>
      <c r="DD100" s="127"/>
      <c r="DE100" s="56"/>
      <c r="DF100" s="56"/>
      <c r="DG100" s="56"/>
      <c r="DH100" s="56"/>
      <c r="DI100" s="56"/>
      <c r="DJ100" s="56"/>
      <c r="DK100" s="56"/>
      <c r="DL100" s="56"/>
      <c r="DM100" s="56"/>
      <c r="DN100" s="56"/>
      <c r="DO100" s="56"/>
      <c r="DP100" s="56"/>
      <c r="DQ100" s="56"/>
      <c r="DR100" s="56"/>
      <c r="DS100" s="610"/>
      <c r="DT100" s="613"/>
      <c r="DU100" s="613"/>
      <c r="DV100" s="615" t="str">
        <f>IF(AND(DT100&gt;0,DU100&gt;0),DU100-DT100,"0")</f>
        <v>0</v>
      </c>
      <c r="DW100" s="613"/>
      <c r="DX100" s="613"/>
      <c r="DY100" s="615" t="str">
        <f t="shared" si="256"/>
        <v>0</v>
      </c>
      <c r="DZ100" s="613"/>
      <c r="EA100" s="613"/>
      <c r="EB100" s="615" t="str">
        <f t="shared" si="257"/>
        <v>0</v>
      </c>
      <c r="EC100" s="613"/>
      <c r="ED100" s="613"/>
      <c r="EE100" s="615" t="str">
        <f t="shared" si="258"/>
        <v>0</v>
      </c>
      <c r="EF100" s="616"/>
      <c r="EG100" s="617"/>
      <c r="EH100" s="615" t="str">
        <f t="shared" si="259"/>
        <v>0</v>
      </c>
      <c r="EI100" s="618"/>
      <c r="EJ100" s="594"/>
      <c r="EK100" s="595"/>
      <c r="EL100" s="596" t="str">
        <f t="shared" si="260"/>
        <v>0</v>
      </c>
      <c r="EM100" s="594"/>
      <c r="EN100" s="595"/>
      <c r="EO100" s="596" t="str">
        <f t="shared" si="261"/>
        <v>0</v>
      </c>
      <c r="EP100" s="594"/>
      <c r="EQ100" s="595"/>
      <c r="ER100" s="596" t="str">
        <f t="shared" si="262"/>
        <v>0</v>
      </c>
      <c r="ES100" s="594"/>
      <c r="ET100" s="622"/>
      <c r="EU100" s="597" t="str">
        <f t="shared" si="263"/>
        <v>0</v>
      </c>
      <c r="EV100" s="598"/>
      <c r="EW100" s="599"/>
      <c r="EX100" s="596" t="str">
        <f t="shared" si="264"/>
        <v>0</v>
      </c>
      <c r="EY100" s="600"/>
      <c r="EZ100" s="600"/>
      <c r="FA100" s="596" t="str">
        <f t="shared" si="265"/>
        <v>0</v>
      </c>
      <c r="FB100" s="600"/>
      <c r="FC100" s="600"/>
      <c r="FD100" s="596" t="str">
        <f t="shared" si="266"/>
        <v>0</v>
      </c>
      <c r="FE100" s="600"/>
      <c r="FF100" s="600"/>
      <c r="FG100" s="596" t="str">
        <f t="shared" si="267"/>
        <v>0</v>
      </c>
      <c r="FH100" s="600"/>
      <c r="FI100" s="600"/>
      <c r="FJ100" s="596" t="str">
        <f t="shared" si="268"/>
        <v>0</v>
      </c>
      <c r="FK100" s="600"/>
      <c r="FL100" s="600"/>
      <c r="FM100" s="600"/>
      <c r="FN100" s="600"/>
      <c r="FO100" s="600">
        <f t="shared" si="187"/>
        <v>0</v>
      </c>
      <c r="FP100" s="598">
        <f t="shared" si="144"/>
        <v>0</v>
      </c>
      <c r="FQ100" s="600"/>
      <c r="FR100" s="600">
        <f t="shared" si="188"/>
        <v>0</v>
      </c>
      <c r="FS100" s="627"/>
      <c r="FT100" s="627"/>
      <c r="FU100" s="627"/>
      <c r="FV100" s="627"/>
      <c r="FW100" s="628">
        <f t="shared" si="269"/>
        <v>0</v>
      </c>
      <c r="FX100" s="628">
        <f t="shared" si="270"/>
        <v>0</v>
      </c>
      <c r="FY100" s="624"/>
      <c r="FZ100" s="641"/>
      <c r="GA100" s="624"/>
      <c r="GB100" s="624"/>
      <c r="GC100" s="118"/>
      <c r="GD100" s="118"/>
      <c r="GE100" s="96"/>
      <c r="GF100" s="70">
        <f t="shared" si="271"/>
        <v>0</v>
      </c>
      <c r="GG100" s="97"/>
      <c r="GH100" s="52"/>
      <c r="GI100" s="52"/>
      <c r="GJ100" s="96"/>
      <c r="GK100" s="70"/>
      <c r="GL100" s="97"/>
      <c r="GM100" s="138"/>
      <c r="GN100" s="139"/>
      <c r="GO100" s="96"/>
      <c r="GP100" s="70"/>
      <c r="GQ100" s="52"/>
      <c r="GR100" s="98"/>
      <c r="GS100" s="96"/>
      <c r="GT100" s="70"/>
      <c r="GU100" s="90"/>
      <c r="GV100" s="90"/>
      <c r="GW100" s="98"/>
      <c r="GX100" s="52"/>
      <c r="GY100" s="70"/>
      <c r="GZ100" s="307"/>
      <c r="HA100" s="11"/>
      <c r="HB100" s="70"/>
      <c r="HC100" s="91"/>
      <c r="HD100" s="96"/>
      <c r="HE100" s="70"/>
      <c r="HF100" s="92"/>
      <c r="HG100" s="23"/>
      <c r="HH100" s="84"/>
      <c r="HI100" s="92"/>
      <c r="HJ100" s="93"/>
      <c r="HK100" s="93"/>
      <c r="HL100" s="94"/>
      <c r="HM100" s="94"/>
      <c r="HN100" s="52"/>
      <c r="HO100" s="94"/>
      <c r="HP100" s="52"/>
      <c r="HQ100" s="53"/>
      <c r="HR100" s="94"/>
      <c r="HS100" s="94"/>
      <c r="HT100" s="70"/>
      <c r="HU100" s="42"/>
      <c r="HV100" s="245"/>
      <c r="HW100" s="245">
        <f t="shared" si="273"/>
        <v>0</v>
      </c>
      <c r="HX100" s="119"/>
      <c r="HY100" s="342"/>
      <c r="HZ100" s="342"/>
      <c r="IA100" s="255"/>
      <c r="IB100" s="255"/>
      <c r="IC100" s="360"/>
      <c r="ID100" s="252"/>
      <c r="IE100" s="361"/>
      <c r="IF100" s="252"/>
      <c r="IG100" s="361"/>
      <c r="IH100" s="312"/>
      <c r="II100" s="362"/>
      <c r="IJ100" s="358"/>
      <c r="IK100" s="358"/>
      <c r="IL100" s="206"/>
      <c r="IM100" s="360"/>
      <c r="IN100" s="206"/>
      <c r="IO100" s="360"/>
      <c r="IP100" s="312"/>
      <c r="IQ100" s="312"/>
      <c r="IR100" s="312"/>
      <c r="IS100" s="312"/>
      <c r="IT100" s="289"/>
      <c r="IU100" s="289"/>
      <c r="IV100" s="289"/>
      <c r="IW100" s="289"/>
      <c r="IX100" s="289"/>
      <c r="IY100" s="289"/>
      <c r="IZ100" s="360"/>
      <c r="JA100" s="359"/>
      <c r="JB100" s="312"/>
      <c r="JC100" s="359"/>
      <c r="JD100" s="359"/>
      <c r="JE100" s="312"/>
    </row>
    <row r="101" spans="1:265" ht="24.95" customHeight="1">
      <c r="A101" s="89" t="s">
        <v>254</v>
      </c>
      <c r="B101" s="56" t="s">
        <v>35</v>
      </c>
      <c r="C101" s="56" t="s">
        <v>117</v>
      </c>
      <c r="D101" s="56">
        <v>2021</v>
      </c>
      <c r="E101" s="56" t="s">
        <v>257</v>
      </c>
      <c r="F101" s="56" t="s">
        <v>419</v>
      </c>
      <c r="G101" s="56"/>
      <c r="H101" s="56" t="s">
        <v>253</v>
      </c>
      <c r="I101" s="56"/>
      <c r="J101" s="56"/>
      <c r="K101" s="275"/>
      <c r="L101" s="178"/>
      <c r="M101" s="179"/>
      <c r="N101" s="180"/>
      <c r="O101" s="219">
        <v>5300</v>
      </c>
      <c r="P101" s="219">
        <v>533400</v>
      </c>
      <c r="Q101" s="219">
        <v>533400</v>
      </c>
      <c r="R101" s="219">
        <f>P101/AD101</f>
        <v>7620</v>
      </c>
      <c r="S101" s="219">
        <v>100.64150943396227</v>
      </c>
      <c r="T101" s="225">
        <v>100.64150943396227</v>
      </c>
      <c r="U101" s="225">
        <v>81.033042157235087</v>
      </c>
      <c r="V101" s="225">
        <v>6061.363636363636</v>
      </c>
      <c r="W101" s="219">
        <v>60.227272727272727</v>
      </c>
      <c r="X101" s="220"/>
      <c r="Y101" s="221">
        <f>AJ101/O101</f>
        <v>1.2419811320754717</v>
      </c>
      <c r="Z101" s="220" t="s">
        <v>197</v>
      </c>
      <c r="AA101" s="220">
        <v>560</v>
      </c>
      <c r="AB101" s="221">
        <v>0.1</v>
      </c>
      <c r="AC101" s="57" t="s">
        <v>16</v>
      </c>
      <c r="AD101" s="345">
        <f t="shared" si="252"/>
        <v>70</v>
      </c>
      <c r="AE101" s="67"/>
      <c r="AF101" s="56">
        <v>70</v>
      </c>
      <c r="AG101" s="67"/>
      <c r="AH101" s="67"/>
      <c r="AI101" s="60">
        <v>6582.5</v>
      </c>
      <c r="AJ101" s="95">
        <v>6582.5</v>
      </c>
      <c r="AK101" s="60">
        <f>AJ101/AD101</f>
        <v>94.035714285714292</v>
      </c>
      <c r="AL101" s="81">
        <v>0.15</v>
      </c>
      <c r="AM101" s="81">
        <v>0.3</v>
      </c>
      <c r="AN101" s="81">
        <v>0.3</v>
      </c>
      <c r="AO101" s="81">
        <v>0.2</v>
      </c>
      <c r="AP101" s="81">
        <v>0.06</v>
      </c>
      <c r="AQ101" s="60"/>
      <c r="AR101" s="79">
        <v>0</v>
      </c>
      <c r="AS101" s="81">
        <v>0</v>
      </c>
      <c r="AT101" s="60"/>
      <c r="AU101" s="59" t="s">
        <v>621</v>
      </c>
      <c r="AV101" s="56" t="s">
        <v>125</v>
      </c>
      <c r="AW101" s="252"/>
      <c r="AX101" s="56"/>
      <c r="AY101" s="115"/>
      <c r="AZ101" s="115"/>
      <c r="BA101" s="100"/>
      <c r="BB101" s="216"/>
      <c r="BC101" s="102"/>
      <c r="BD101" s="102"/>
      <c r="BE101" s="216"/>
      <c r="BF101" s="102"/>
      <c r="BG101" s="172"/>
      <c r="BH101" s="215"/>
      <c r="BI101" s="172"/>
      <c r="BJ101" s="172"/>
      <c r="BK101" s="103"/>
      <c r="BL101" s="200">
        <f>DATE(YEAR(BK101),MONTH(BK101)+24,DAY(BK101))</f>
        <v>731</v>
      </c>
      <c r="BM101" s="200">
        <f>DATE(YEAR(BK101),MONTH(BK101)+36,DAY(BK101))</f>
        <v>1096</v>
      </c>
      <c r="BN101" s="200"/>
      <c r="BO101" s="172"/>
      <c r="BP101" s="177"/>
      <c r="BQ101" s="103"/>
      <c r="BR101" s="104"/>
      <c r="BS101" s="104"/>
      <c r="BT101" s="104"/>
      <c r="BU101" s="170"/>
      <c r="BV101" s="268"/>
      <c r="BW101" s="268"/>
      <c r="BX101" s="169"/>
      <c r="BY101" s="268">
        <f>DATE(YEAR(BV101),MONTH(BV101)+18,DAY(BV101))</f>
        <v>547</v>
      </c>
      <c r="BZ101" s="268"/>
      <c r="CA101" s="268"/>
      <c r="CB101" s="268" t="s">
        <v>177</v>
      </c>
      <c r="CC101" s="682"/>
      <c r="CD101" s="509"/>
      <c r="CE101" s="384">
        <v>44593</v>
      </c>
      <c r="CF101" s="377"/>
      <c r="CG101" s="494">
        <f>(DATEDIF(BB101,CE101,"d"))/30</f>
        <v>1486.4333333333334</v>
      </c>
      <c r="CH101" s="262">
        <v>24</v>
      </c>
      <c r="CI101" s="262">
        <f>CH101+1</f>
        <v>25</v>
      </c>
      <c r="CJ101" s="257">
        <f>DATEDIF(CE101,CR101,"M")</f>
        <v>24</v>
      </c>
      <c r="CK101" s="257">
        <f>DATEDIF(CE101,CW101,"M")</f>
        <v>25</v>
      </c>
      <c r="CL101" s="257">
        <f t="shared" si="254"/>
        <v>0</v>
      </c>
      <c r="CM101" s="257">
        <f>CK101-CI101</f>
        <v>0</v>
      </c>
      <c r="CN101" s="263"/>
      <c r="CO101" s="263">
        <f>CN101*(CJ101-CH101)</f>
        <v>0</v>
      </c>
      <c r="CP101" s="258"/>
      <c r="CQ101" s="699">
        <f t="shared" si="255"/>
        <v>45323</v>
      </c>
      <c r="CR101" s="446">
        <f>DATE(YEAR(CE101),MONTH(CE101)+CH101,DAY(CE101))</f>
        <v>45323</v>
      </c>
      <c r="CS101" s="458">
        <f>DATE(YEAR(CA101)+2,MONTH(CA101),DAY(CA101))</f>
        <v>731</v>
      </c>
      <c r="CT101" s="198"/>
      <c r="CU101" s="123"/>
      <c r="CV101" s="650">
        <f>DATE(YEAR(CR101),MONTH(CR101)+1,DAY(CR101))</f>
        <v>45352</v>
      </c>
      <c r="CW101" s="446">
        <f>CV101</f>
        <v>45352</v>
      </c>
      <c r="CX101" s="647"/>
      <c r="CY101" s="292"/>
      <c r="CZ101" s="127"/>
      <c r="DA101" s="127"/>
      <c r="DB101" s="127"/>
      <c r="DC101" s="127"/>
      <c r="DD101" s="127"/>
      <c r="DE101" s="56"/>
      <c r="DF101" s="56"/>
      <c r="DG101" s="56"/>
      <c r="DH101" s="56"/>
      <c r="DI101" s="56"/>
      <c r="DJ101" s="56"/>
      <c r="DK101" s="56"/>
      <c r="DL101" s="56"/>
      <c r="DM101" s="56"/>
      <c r="DN101" s="56"/>
      <c r="DO101" s="56"/>
      <c r="DP101" s="56"/>
      <c r="DQ101" s="56"/>
      <c r="DR101" s="56"/>
      <c r="DS101" s="613"/>
      <c r="DT101" s="611"/>
      <c r="DU101" s="611"/>
      <c r="DV101" s="612"/>
      <c r="DW101" s="613"/>
      <c r="DX101" s="613"/>
      <c r="DY101" s="615" t="str">
        <f t="shared" si="256"/>
        <v>0</v>
      </c>
      <c r="DZ101" s="616"/>
      <c r="EA101" s="610"/>
      <c r="EB101" s="615" t="str">
        <f t="shared" si="257"/>
        <v>0</v>
      </c>
      <c r="EC101" s="616"/>
      <c r="ED101" s="610"/>
      <c r="EE101" s="615" t="str">
        <f t="shared" si="258"/>
        <v>0</v>
      </c>
      <c r="EF101" s="616"/>
      <c r="EG101" s="617"/>
      <c r="EH101" s="615" t="str">
        <f t="shared" si="259"/>
        <v>0</v>
      </c>
      <c r="EI101" s="614"/>
      <c r="EJ101" s="594"/>
      <c r="EK101" s="595"/>
      <c r="EL101" s="596" t="str">
        <f t="shared" si="260"/>
        <v>0</v>
      </c>
      <c r="EM101" s="594"/>
      <c r="EN101" s="595"/>
      <c r="EO101" s="596" t="str">
        <f t="shared" si="261"/>
        <v>0</v>
      </c>
      <c r="EP101" s="594"/>
      <c r="EQ101" s="595"/>
      <c r="ER101" s="596" t="str">
        <f t="shared" si="262"/>
        <v>0</v>
      </c>
      <c r="ES101" s="594"/>
      <c r="ET101" s="622"/>
      <c r="EU101" s="597" t="str">
        <f t="shared" si="263"/>
        <v>0</v>
      </c>
      <c r="EV101" s="598"/>
      <c r="EW101" s="599"/>
      <c r="EX101" s="596" t="str">
        <f t="shared" si="264"/>
        <v>0</v>
      </c>
      <c r="EY101" s="601"/>
      <c r="EZ101" s="600"/>
      <c r="FA101" s="596" t="str">
        <f t="shared" si="265"/>
        <v>0</v>
      </c>
      <c r="FB101" s="602"/>
      <c r="FC101" s="602"/>
      <c r="FD101" s="596" t="str">
        <f t="shared" si="266"/>
        <v>0</v>
      </c>
      <c r="FE101" s="602"/>
      <c r="FF101" s="602"/>
      <c r="FG101" s="596" t="str">
        <f t="shared" si="267"/>
        <v>0</v>
      </c>
      <c r="FH101" s="602"/>
      <c r="FI101" s="602"/>
      <c r="FJ101" s="596" t="str">
        <f t="shared" si="268"/>
        <v>0</v>
      </c>
      <c r="FK101" s="602"/>
      <c r="FL101" s="602"/>
      <c r="FM101" s="602"/>
      <c r="FN101" s="602"/>
      <c r="FO101" s="600">
        <f t="shared" si="187"/>
        <v>45323</v>
      </c>
      <c r="FP101" s="598">
        <f t="shared" si="144"/>
        <v>0</v>
      </c>
      <c r="FQ101" s="602"/>
      <c r="FR101" s="600">
        <f t="shared" si="188"/>
        <v>45352</v>
      </c>
      <c r="FS101" s="627"/>
      <c r="FT101" s="627"/>
      <c r="FU101" s="627"/>
      <c r="FV101" s="627"/>
      <c r="FW101" s="628">
        <f t="shared" si="269"/>
        <v>0</v>
      </c>
      <c r="FX101" s="628">
        <f t="shared" si="270"/>
        <v>1511.7333333333333</v>
      </c>
      <c r="FY101" s="630"/>
      <c r="FZ101" s="657"/>
      <c r="GA101" s="630"/>
      <c r="GB101" s="630"/>
      <c r="GC101" s="118"/>
      <c r="GD101" s="118"/>
      <c r="GE101" s="96">
        <f>+GO101+GS101+GZ101+HT101+HE101</f>
        <v>0</v>
      </c>
      <c r="GF101" s="70">
        <f t="shared" si="271"/>
        <v>0</v>
      </c>
      <c r="GG101" s="97">
        <f>GF101-GE101</f>
        <v>0</v>
      </c>
      <c r="GH101" s="52">
        <f>GE101/AI101</f>
        <v>0</v>
      </c>
      <c r="GI101" s="52">
        <f>GE101/AD101</f>
        <v>0</v>
      </c>
      <c r="GJ101" s="96"/>
      <c r="GK101" s="70"/>
      <c r="GL101" s="97">
        <f>GK101-GJ101</f>
        <v>0</v>
      </c>
      <c r="GM101" s="138" t="e">
        <f>GK101*1.021/GF101</f>
        <v>#DIV/0!</v>
      </c>
      <c r="GN101" s="138">
        <v>0.4</v>
      </c>
      <c r="GO101" s="96"/>
      <c r="GP101" s="70"/>
      <c r="GQ101" s="23">
        <f>GO101/AD101</f>
        <v>0</v>
      </c>
      <c r="GR101" s="98"/>
      <c r="GS101" s="96"/>
      <c r="GT101" s="70">
        <f>GU101+GV101</f>
        <v>0</v>
      </c>
      <c r="GU101" s="90"/>
      <c r="GV101" s="90"/>
      <c r="GW101" s="98">
        <f>GT101-GS101</f>
        <v>0</v>
      </c>
      <c r="GX101" s="52">
        <f>GS101/AD101</f>
        <v>0</v>
      </c>
      <c r="GY101" s="70"/>
      <c r="GZ101" s="96"/>
      <c r="HA101" s="70"/>
      <c r="HB101" s="70"/>
      <c r="HC101" s="41" t="e">
        <f>GZ101/GE101</f>
        <v>#DIV/0!</v>
      </c>
      <c r="HD101" s="329"/>
      <c r="HE101" s="70"/>
      <c r="HF101" s="92">
        <f>HA101-GZ101</f>
        <v>0</v>
      </c>
      <c r="HG101" s="23">
        <f>GZ101/AD101</f>
        <v>0</v>
      </c>
      <c r="HH101" s="84">
        <f>(GO101+GZ101)/AD101</f>
        <v>0</v>
      </c>
      <c r="HI101" s="92">
        <f>HF101/AD101</f>
        <v>0</v>
      </c>
      <c r="HJ101" s="93">
        <v>6.31</v>
      </c>
      <c r="HK101" s="93"/>
      <c r="HL101" s="94"/>
      <c r="HM101" s="94"/>
      <c r="HN101" s="52">
        <f>(GO101+GZ101+HM101)/AD101</f>
        <v>0</v>
      </c>
      <c r="HO101" s="94"/>
      <c r="HP101" s="52">
        <f>(GP101+HA101+HM101+HO101)/AD101</f>
        <v>0</v>
      </c>
      <c r="HQ101" s="53" t="e">
        <f>(GO101+GZ101+HM101+HO101)/(HL101+GE101-HR101)</f>
        <v>#DIV/0!</v>
      </c>
      <c r="HR101" s="94"/>
      <c r="HS101" s="94"/>
      <c r="HT101" s="70"/>
      <c r="HU101" s="42">
        <f>GE101+HL101</f>
        <v>0</v>
      </c>
      <c r="HV101" s="296"/>
      <c r="HW101" s="296">
        <f t="shared" si="273"/>
        <v>0</v>
      </c>
      <c r="HX101" s="297"/>
      <c r="HY101" s="300">
        <v>0</v>
      </c>
      <c r="HZ101" s="300"/>
      <c r="IA101" s="272"/>
      <c r="IB101" s="272"/>
      <c r="IC101" s="424">
        <v>0</v>
      </c>
      <c r="ID101" s="281"/>
      <c r="IE101" s="293">
        <v>0</v>
      </c>
      <c r="IF101" s="281"/>
      <c r="IG101" s="523"/>
      <c r="IH101" s="298"/>
      <c r="II101" s="303"/>
      <c r="IJ101" s="301"/>
      <c r="IK101" s="301"/>
      <c r="IL101" s="295"/>
      <c r="IM101" s="300"/>
      <c r="IN101" s="295"/>
      <c r="IO101" s="300"/>
      <c r="IP101" s="326"/>
      <c r="IQ101" s="326"/>
      <c r="IR101" s="326"/>
      <c r="IS101" s="326"/>
      <c r="IT101" s="289"/>
      <c r="IU101" s="289"/>
      <c r="IV101" s="289"/>
      <c r="IW101" s="289"/>
      <c r="IX101" s="289"/>
      <c r="IY101" s="289"/>
      <c r="IZ101" s="300" t="e">
        <f>$IZ$1*HV101</f>
        <v>#VALUE!</v>
      </c>
      <c r="JA101" s="123"/>
      <c r="JB101" s="298"/>
      <c r="JC101" s="123"/>
      <c r="JD101" s="291"/>
      <c r="JE101" s="298"/>
    </row>
    <row r="102" spans="1:265" ht="35.1" customHeight="1">
      <c r="A102" s="101" t="s">
        <v>171</v>
      </c>
      <c r="B102" s="57" t="s">
        <v>28</v>
      </c>
      <c r="C102" s="57" t="s">
        <v>117</v>
      </c>
      <c r="D102" s="56"/>
      <c r="E102" s="57" t="s">
        <v>172</v>
      </c>
      <c r="F102" s="56" t="s">
        <v>58</v>
      </c>
      <c r="G102" s="56"/>
      <c r="H102" s="57" t="s">
        <v>183</v>
      </c>
      <c r="I102" s="56" t="s">
        <v>125</v>
      </c>
      <c r="J102" s="57"/>
      <c r="K102" s="218" t="s">
        <v>418</v>
      </c>
      <c r="L102" s="178" t="s">
        <v>208</v>
      </c>
      <c r="M102" s="179" t="s">
        <v>154</v>
      </c>
      <c r="N102" s="180"/>
      <c r="O102" s="224">
        <v>1736</v>
      </c>
      <c r="P102" s="224">
        <f>Q102</f>
        <v>448408</v>
      </c>
      <c r="Q102" s="224">
        <v>448408</v>
      </c>
      <c r="R102" s="219">
        <f>P102/AD102</f>
        <v>23600.42105263158</v>
      </c>
      <c r="S102" s="224">
        <f>P102/O102</f>
        <v>258.29953917050693</v>
      </c>
      <c r="T102" s="225">
        <f>Q102/O102</f>
        <v>258.29953917050693</v>
      </c>
      <c r="U102" s="225">
        <f>Q102/AJ102</f>
        <v>274.7126718455167</v>
      </c>
      <c r="V102" s="225">
        <f>Q102/AD102</f>
        <v>23600.42105263158</v>
      </c>
      <c r="W102" s="219">
        <f>O102/AD102</f>
        <v>91.368421052631575</v>
      </c>
      <c r="X102" s="226"/>
      <c r="Y102" s="227">
        <f>AJ102/O102</f>
        <v>0.94025345622119816</v>
      </c>
      <c r="Z102" s="226" t="s">
        <v>203</v>
      </c>
      <c r="AA102" s="220">
        <v>50</v>
      </c>
      <c r="AB102" s="221"/>
      <c r="AC102" s="57" t="s">
        <v>16</v>
      </c>
      <c r="AD102" s="345">
        <f t="shared" si="252"/>
        <v>19</v>
      </c>
      <c r="AE102" s="277"/>
      <c r="AF102" s="57">
        <v>19</v>
      </c>
      <c r="AG102" s="277"/>
      <c r="AH102" s="277"/>
      <c r="AI102" s="60">
        <v>1584.58</v>
      </c>
      <c r="AJ102" s="95">
        <v>1632.28</v>
      </c>
      <c r="AK102" s="60">
        <f>AJ102/AD102</f>
        <v>85.909473684210525</v>
      </c>
      <c r="AL102" s="62"/>
      <c r="AM102" s="81">
        <f>8/AD102</f>
        <v>0.42105263157894735</v>
      </c>
      <c r="AN102" s="81">
        <f>7/AD102</f>
        <v>0.36842105263157893</v>
      </c>
      <c r="AO102" s="81">
        <f>4/AD102</f>
        <v>0.21052631578947367</v>
      </c>
      <c r="AP102" s="62"/>
      <c r="AQ102" s="60"/>
      <c r="AR102" s="79">
        <v>0</v>
      </c>
      <c r="AS102" s="81">
        <f>AR102/O102</f>
        <v>0</v>
      </c>
      <c r="AT102" s="60">
        <v>3</v>
      </c>
      <c r="AU102" s="59" t="s">
        <v>621</v>
      </c>
      <c r="AV102" s="56" t="s">
        <v>125</v>
      </c>
      <c r="AW102" s="252">
        <v>41591</v>
      </c>
      <c r="AX102" s="252">
        <v>42475</v>
      </c>
      <c r="AY102" s="115" t="s">
        <v>261</v>
      </c>
      <c r="AZ102" s="115"/>
      <c r="BA102" s="278" t="s">
        <v>177</v>
      </c>
      <c r="BB102" s="216"/>
      <c r="BC102" s="102"/>
      <c r="BD102" s="102"/>
      <c r="BE102" s="216"/>
      <c r="BF102" s="102"/>
      <c r="BG102" s="172"/>
      <c r="BH102" s="215"/>
      <c r="BI102" s="172"/>
      <c r="BJ102" s="172"/>
      <c r="BK102" s="103"/>
      <c r="BL102" s="200">
        <f>DATE(YEAR(BK102),MONTH(BK102)+24,DAY(BK102))</f>
        <v>731</v>
      </c>
      <c r="BM102" s="200">
        <f>DATE(YEAR(BK102),MONTH(BK102)+36,DAY(BK102))</f>
        <v>1096</v>
      </c>
      <c r="BN102" s="200"/>
      <c r="BO102" s="172"/>
      <c r="BP102" s="177"/>
      <c r="BQ102" s="103"/>
      <c r="BR102" s="104"/>
      <c r="BS102" s="104"/>
      <c r="BT102" s="104"/>
      <c r="BU102" s="170" t="s">
        <v>154</v>
      </c>
      <c r="BV102" s="268"/>
      <c r="BW102" s="268"/>
      <c r="BX102" s="169"/>
      <c r="BY102" s="268">
        <f>DATE(YEAR(BV102),MONTH(BV102)+18,DAY(BV102))</f>
        <v>547</v>
      </c>
      <c r="BZ102" s="268"/>
      <c r="CA102" s="268"/>
      <c r="CB102" s="268" t="s">
        <v>177</v>
      </c>
      <c r="CC102" s="682"/>
      <c r="CD102" s="509"/>
      <c r="CE102" s="384">
        <v>44593</v>
      </c>
      <c r="CF102" s="377"/>
      <c r="CG102" s="494">
        <f>(DATEDIF(BB102,CE102,"d"))/30</f>
        <v>1486.4333333333334</v>
      </c>
      <c r="CH102" s="262">
        <v>14</v>
      </c>
      <c r="CI102" s="262">
        <f>CH102+1</f>
        <v>15</v>
      </c>
      <c r="CJ102" s="257">
        <f>DATEDIF(CE102,CR102,"M")</f>
        <v>14</v>
      </c>
      <c r="CK102" s="257">
        <f>DATEDIF(CE102,CW102,"M")</f>
        <v>16</v>
      </c>
      <c r="CL102" s="257">
        <f t="shared" si="254"/>
        <v>0</v>
      </c>
      <c r="CM102" s="257">
        <f>CK102-CI102</f>
        <v>1</v>
      </c>
      <c r="CN102" s="263"/>
      <c r="CO102" s="263">
        <f>CN102*(CJ102-CH102)</f>
        <v>0</v>
      </c>
      <c r="CP102" s="258"/>
      <c r="CQ102" s="699">
        <f t="shared" si="255"/>
        <v>45017</v>
      </c>
      <c r="CR102" s="391">
        <f>DATE(YEAR(CE102),MONTH(CE102)+CH102,DAY(CE102))</f>
        <v>45017</v>
      </c>
      <c r="CS102" s="388">
        <f>DATE(YEAR(CA102)+2,MONTH(CA102),DAY(CA102))</f>
        <v>731</v>
      </c>
      <c r="CT102" s="258"/>
      <c r="CU102" s="258"/>
      <c r="CV102" s="650">
        <f>DATE(YEAR(CR102),MONTH(CR102)+1,DAY(CR102))</f>
        <v>45047</v>
      </c>
      <c r="CW102" s="506">
        <f>DATE(YEAR(CV102),MONTH(CV102)+1,DAY(CV102))</f>
        <v>45078</v>
      </c>
      <c r="CX102" s="654"/>
      <c r="CY102" s="123"/>
      <c r="CZ102" s="127"/>
      <c r="DA102" s="127"/>
      <c r="DB102" s="127"/>
      <c r="DC102" s="127"/>
      <c r="DD102" s="127"/>
      <c r="DE102" s="56"/>
      <c r="DF102" s="56"/>
      <c r="DG102" s="56"/>
      <c r="DH102" s="56"/>
      <c r="DI102" s="56"/>
      <c r="DJ102" s="56"/>
      <c r="DK102" s="56"/>
      <c r="DL102" s="56"/>
      <c r="DM102" s="56"/>
      <c r="DN102" s="56"/>
      <c r="DO102" s="56"/>
      <c r="DP102" s="56"/>
      <c r="DQ102" s="56"/>
      <c r="DR102" s="56"/>
      <c r="DS102" s="610"/>
      <c r="DT102" s="613"/>
      <c r="DU102" s="613"/>
      <c r="DV102" s="615" t="str">
        <f>IF(AND(DT102&gt;0,DU102&gt;0),DU102-DT102,"0")</f>
        <v>0</v>
      </c>
      <c r="DW102" s="613">
        <v>41676</v>
      </c>
      <c r="DX102" s="613">
        <v>40946</v>
      </c>
      <c r="DY102" s="615">
        <f t="shared" si="256"/>
        <v>-730</v>
      </c>
      <c r="DZ102" s="613"/>
      <c r="EA102" s="613"/>
      <c r="EB102" s="615" t="str">
        <f t="shared" si="257"/>
        <v>0</v>
      </c>
      <c r="EC102" s="613"/>
      <c r="ED102" s="613"/>
      <c r="EE102" s="615" t="str">
        <f t="shared" si="258"/>
        <v>0</v>
      </c>
      <c r="EF102" s="616"/>
      <c r="EG102" s="617"/>
      <c r="EH102" s="615" t="str">
        <f t="shared" si="259"/>
        <v>0</v>
      </c>
      <c r="EI102" s="618"/>
      <c r="EJ102" s="594">
        <v>42353</v>
      </c>
      <c r="EK102" s="595">
        <v>42928</v>
      </c>
      <c r="EL102" s="596">
        <f t="shared" si="260"/>
        <v>575</v>
      </c>
      <c r="EM102" s="594">
        <v>42943</v>
      </c>
      <c r="EN102" s="595">
        <v>42933</v>
      </c>
      <c r="EO102" s="596">
        <f t="shared" si="261"/>
        <v>-10</v>
      </c>
      <c r="EP102" s="594">
        <v>42965</v>
      </c>
      <c r="EQ102" s="595">
        <v>43038</v>
      </c>
      <c r="ER102" s="596">
        <f t="shared" si="262"/>
        <v>73</v>
      </c>
      <c r="ES102" s="594">
        <v>43182</v>
      </c>
      <c r="ET102" s="622">
        <v>43182</v>
      </c>
      <c r="EU102" s="597">
        <f t="shared" si="263"/>
        <v>0</v>
      </c>
      <c r="EV102" s="598"/>
      <c r="EW102" s="599"/>
      <c r="EX102" s="596" t="str">
        <f t="shared" si="264"/>
        <v>0</v>
      </c>
      <c r="EY102" s="600"/>
      <c r="EZ102" s="600"/>
      <c r="FA102" s="596" t="str">
        <f t="shared" si="265"/>
        <v>0</v>
      </c>
      <c r="FB102" s="600"/>
      <c r="FC102" s="600"/>
      <c r="FD102" s="596" t="str">
        <f t="shared" si="266"/>
        <v>0</v>
      </c>
      <c r="FE102" s="600"/>
      <c r="FF102" s="600"/>
      <c r="FG102" s="596" t="str">
        <f t="shared" si="267"/>
        <v>0</v>
      </c>
      <c r="FH102" s="600"/>
      <c r="FI102" s="600"/>
      <c r="FJ102" s="596" t="str">
        <f t="shared" si="268"/>
        <v>0</v>
      </c>
      <c r="FK102" s="600"/>
      <c r="FL102" s="600"/>
      <c r="FM102" s="600"/>
      <c r="FN102" s="600"/>
      <c r="FO102" s="600">
        <f t="shared" si="187"/>
        <v>45017</v>
      </c>
      <c r="FP102" s="598" t="e">
        <f t="shared" si="144"/>
        <v>#NUM!</v>
      </c>
      <c r="FQ102" s="600"/>
      <c r="FR102" s="600">
        <f t="shared" si="188"/>
        <v>45078</v>
      </c>
      <c r="FS102" s="627"/>
      <c r="FT102" s="627"/>
      <c r="FU102" s="627"/>
      <c r="FV102" s="627"/>
      <c r="FW102" s="628">
        <f t="shared" si="269"/>
        <v>-5.5</v>
      </c>
      <c r="FX102" s="628">
        <f t="shared" si="270"/>
        <v>1502.6</v>
      </c>
      <c r="FY102" s="624"/>
      <c r="FZ102" s="641"/>
      <c r="GA102" s="624"/>
      <c r="GB102" s="624"/>
      <c r="GC102" s="118"/>
      <c r="GD102" s="118"/>
      <c r="GE102" s="96">
        <f>+GO102+GS102+GZ102+HT102+HE102</f>
        <v>0</v>
      </c>
      <c r="GF102" s="70">
        <f t="shared" si="271"/>
        <v>0</v>
      </c>
      <c r="GG102" s="97">
        <f>GF102-GE102</f>
        <v>0</v>
      </c>
      <c r="GH102" s="52">
        <f>GE102/AI102</f>
        <v>0</v>
      </c>
      <c r="GI102" s="52">
        <f>GE102/AD102</f>
        <v>0</v>
      </c>
      <c r="GJ102" s="96"/>
      <c r="GK102" s="70"/>
      <c r="GL102" s="97">
        <f>GK102-GJ102</f>
        <v>0</v>
      </c>
      <c r="GM102" s="138" t="e">
        <f>GK102*1.021/GF102</f>
        <v>#DIV/0!</v>
      </c>
      <c r="GN102" s="139">
        <v>0.4</v>
      </c>
      <c r="GO102" s="96"/>
      <c r="GP102" s="70"/>
      <c r="GQ102" s="52">
        <f>GO102/AD102</f>
        <v>0</v>
      </c>
      <c r="GR102" s="98"/>
      <c r="GS102" s="96"/>
      <c r="GT102" s="70">
        <f>GU102+GV102</f>
        <v>0</v>
      </c>
      <c r="GU102" s="90"/>
      <c r="GV102" s="90"/>
      <c r="GW102" s="98">
        <f>GT102-GS102</f>
        <v>0</v>
      </c>
      <c r="GX102" s="52">
        <f>GS102/AD102</f>
        <v>0</v>
      </c>
      <c r="GY102" s="70"/>
      <c r="GZ102" s="96"/>
      <c r="HA102" s="70"/>
      <c r="HB102" s="75"/>
      <c r="HC102" s="91" t="e">
        <f>GZ102/GE102</f>
        <v>#DIV/0!</v>
      </c>
      <c r="HD102" s="329"/>
      <c r="HE102" s="70"/>
      <c r="HF102" s="92">
        <f>HA102-GZ102</f>
        <v>0</v>
      </c>
      <c r="HG102" s="52">
        <f>GZ102/AD102</f>
        <v>0</v>
      </c>
      <c r="HH102" s="84">
        <f>(GO102+GZ102)/AD102</f>
        <v>0</v>
      </c>
      <c r="HI102" s="92">
        <f>HF102/AD102</f>
        <v>0</v>
      </c>
      <c r="HJ102" s="279">
        <v>6.31</v>
      </c>
      <c r="HK102" s="279"/>
      <c r="HL102" s="94"/>
      <c r="HM102" s="94"/>
      <c r="HN102" s="52">
        <f>(GO102+GZ102+HM102)/AD102</f>
        <v>0</v>
      </c>
      <c r="HO102" s="94"/>
      <c r="HP102" s="52">
        <f>(GP102+HA102+HM102+HO102)/AD102</f>
        <v>0</v>
      </c>
      <c r="HQ102" s="53" t="e">
        <f>(GO102+GZ102+HM102+HO102)/(HL102+GE102-HR102)</f>
        <v>#DIV/0!</v>
      </c>
      <c r="HR102" s="94"/>
      <c r="HS102" s="94"/>
      <c r="HT102" s="70"/>
      <c r="HU102" s="99">
        <f>GE102+HL102</f>
        <v>0</v>
      </c>
      <c r="HV102" s="296">
        <v>183150</v>
      </c>
      <c r="HW102" s="296">
        <f t="shared" si="273"/>
        <v>45788</v>
      </c>
      <c r="HX102" s="119">
        <v>41641</v>
      </c>
      <c r="HY102" s="245">
        <v>17413</v>
      </c>
      <c r="HZ102" s="245"/>
      <c r="IA102" s="119"/>
      <c r="IB102" s="119">
        <v>41696</v>
      </c>
      <c r="IC102" s="245">
        <v>8707</v>
      </c>
      <c r="ID102" s="119">
        <v>41820</v>
      </c>
      <c r="IE102" s="245">
        <v>19668</v>
      </c>
      <c r="IF102" s="119"/>
      <c r="IG102" s="245"/>
      <c r="IH102" s="120"/>
      <c r="II102" s="350"/>
      <c r="IJ102" s="341"/>
      <c r="IK102" s="341"/>
      <c r="IL102" s="295"/>
      <c r="IM102" s="300"/>
      <c r="IN102" s="295"/>
      <c r="IO102" s="300"/>
      <c r="IP102" s="326"/>
      <c r="IQ102" s="326"/>
      <c r="IR102" s="326"/>
      <c r="IS102" s="326"/>
      <c r="IT102" s="289"/>
      <c r="IU102" s="289"/>
      <c r="IV102" s="289"/>
      <c r="IW102" s="289"/>
      <c r="IX102" s="289"/>
      <c r="IY102" s="289"/>
      <c r="IZ102" s="245">
        <v>19668</v>
      </c>
      <c r="JA102" s="128"/>
      <c r="JB102" s="120"/>
      <c r="JC102" s="128"/>
      <c r="JD102" s="128"/>
      <c r="JE102" s="120"/>
    </row>
    <row r="103" spans="1:265" ht="24.95" customHeight="1">
      <c r="A103" s="89" t="s">
        <v>707</v>
      </c>
      <c r="B103" s="56" t="s">
        <v>28</v>
      </c>
      <c r="C103" s="56" t="s">
        <v>117</v>
      </c>
      <c r="D103" s="56"/>
      <c r="E103" s="56"/>
      <c r="F103" s="56"/>
      <c r="G103" s="56"/>
      <c r="H103" s="56" t="s">
        <v>455</v>
      </c>
      <c r="I103" s="56"/>
      <c r="J103" s="56" t="s">
        <v>708</v>
      </c>
      <c r="K103" s="275"/>
      <c r="L103" s="178"/>
      <c r="M103" s="179"/>
      <c r="N103" s="180"/>
      <c r="O103" s="219"/>
      <c r="P103" s="219"/>
      <c r="Q103" s="219"/>
      <c r="R103" s="219"/>
      <c r="S103" s="219" t="e">
        <f>P103/O103</f>
        <v>#DIV/0!</v>
      </c>
      <c r="T103" s="225" t="e">
        <f>Q103/O103</f>
        <v>#DIV/0!</v>
      </c>
      <c r="U103" s="225" t="e">
        <f>Q103/AJ103</f>
        <v>#DIV/0!</v>
      </c>
      <c r="V103" s="225">
        <f>Q103/AD103</f>
        <v>0</v>
      </c>
      <c r="W103" s="219">
        <f>O103/AD103</f>
        <v>0</v>
      </c>
      <c r="X103" s="220"/>
      <c r="Y103" s="228"/>
      <c r="Z103" s="220"/>
      <c r="AA103" s="220"/>
      <c r="AB103" s="221"/>
      <c r="AC103" s="57" t="s">
        <v>16</v>
      </c>
      <c r="AD103" s="345">
        <f t="shared" si="252"/>
        <v>15</v>
      </c>
      <c r="AE103" s="67"/>
      <c r="AF103" s="56">
        <v>15</v>
      </c>
      <c r="AG103" s="67"/>
      <c r="AH103" s="67"/>
      <c r="AI103" s="60"/>
      <c r="AJ103" s="95"/>
      <c r="AK103" s="9"/>
      <c r="AL103" s="81"/>
      <c r="AM103" s="81"/>
      <c r="AN103" s="81"/>
      <c r="AO103" s="81"/>
      <c r="AP103" s="81"/>
      <c r="AQ103" s="60"/>
      <c r="AR103" s="79"/>
      <c r="AS103" s="81"/>
      <c r="AT103" s="60"/>
      <c r="AU103" s="56"/>
      <c r="AV103" s="56"/>
      <c r="AW103" s="196"/>
      <c r="AX103" s="56"/>
      <c r="AY103" s="115"/>
      <c r="AZ103" s="115"/>
      <c r="BA103" s="100"/>
      <c r="BB103" s="216"/>
      <c r="BC103" s="102"/>
      <c r="BD103" s="102"/>
      <c r="BE103" s="216"/>
      <c r="BF103" s="102"/>
      <c r="BG103" s="172"/>
      <c r="BH103" s="215"/>
      <c r="BI103" s="172"/>
      <c r="BJ103" s="172"/>
      <c r="BK103" s="103"/>
      <c r="BL103" s="200"/>
      <c r="BM103" s="200"/>
      <c r="BN103" s="200"/>
      <c r="BO103" s="172"/>
      <c r="BP103" s="177"/>
      <c r="BQ103" s="103"/>
      <c r="BR103" s="104"/>
      <c r="BS103" s="104"/>
      <c r="BT103" s="104"/>
      <c r="BU103" s="170"/>
      <c r="BV103" s="268"/>
      <c r="BW103" s="268"/>
      <c r="BX103" s="169"/>
      <c r="BY103" s="268"/>
      <c r="BZ103" s="268"/>
      <c r="CA103" s="268"/>
      <c r="CB103" s="268"/>
      <c r="CC103" s="681" t="e">
        <f>DATEDIF(CW103,CB103,"M")</f>
        <v>#NUM!</v>
      </c>
      <c r="CD103" s="509"/>
      <c r="CE103" s="384">
        <v>44593</v>
      </c>
      <c r="CF103" s="377"/>
      <c r="CG103" s="494">
        <f>(DATEDIF(BB103,CE103,"d"))/30</f>
        <v>1486.4333333333334</v>
      </c>
      <c r="CH103" s="262">
        <v>16</v>
      </c>
      <c r="CI103" s="262">
        <f>CH103+1</f>
        <v>17</v>
      </c>
      <c r="CJ103" s="257">
        <f>DATEDIF(CE103,CR103,"M")</f>
        <v>16</v>
      </c>
      <c r="CK103" s="257">
        <f>DATEDIF(CE103,CW103,"M")</f>
        <v>17</v>
      </c>
      <c r="CL103" s="257">
        <f t="shared" si="254"/>
        <v>0</v>
      </c>
      <c r="CM103" s="257">
        <f>CK103-CI103</f>
        <v>0</v>
      </c>
      <c r="CN103" s="263"/>
      <c r="CO103" s="263">
        <f>CN103*(CJ103-CH103)</f>
        <v>0</v>
      </c>
      <c r="CP103" s="258"/>
      <c r="CQ103" s="699">
        <f t="shared" si="255"/>
        <v>45078</v>
      </c>
      <c r="CR103" s="391">
        <f>DATE(YEAR(CE103),MONTH(CE103)+CH103,DAY(CE103))</f>
        <v>45078</v>
      </c>
      <c r="CS103" s="388">
        <f>DATE(YEAR(CA103)+2,MONTH(CA103),DAY(CA103))</f>
        <v>731</v>
      </c>
      <c r="CT103" s="258"/>
      <c r="CU103" s="258"/>
      <c r="CV103" s="650">
        <f>DATE(YEAR(CR103),MONTH(CR103)+1,DAY(CR103))</f>
        <v>45108</v>
      </c>
      <c r="CW103" s="506">
        <f>CV103</f>
        <v>45108</v>
      </c>
      <c r="CX103" s="654"/>
      <c r="CY103" s="123"/>
      <c r="CZ103" s="127"/>
      <c r="DA103" s="127"/>
      <c r="DB103" s="127"/>
      <c r="DC103" s="127"/>
      <c r="DD103" s="127"/>
      <c r="DE103" s="56"/>
      <c r="DF103" s="56"/>
      <c r="DG103" s="56"/>
      <c r="DH103" s="56"/>
      <c r="DI103" s="56"/>
      <c r="DJ103" s="56"/>
      <c r="DK103" s="56"/>
      <c r="DL103" s="56"/>
      <c r="DM103" s="56"/>
      <c r="DN103" s="56"/>
      <c r="DO103" s="56"/>
      <c r="DP103" s="56"/>
      <c r="DQ103" s="56"/>
      <c r="DR103" s="56"/>
      <c r="DS103" s="613"/>
      <c r="DT103" s="613"/>
      <c r="DU103" s="613"/>
      <c r="DV103" s="615" t="str">
        <f>IF(AND(DT103&gt;0,DU103&gt;0),DU103-DT103,"0")</f>
        <v>0</v>
      </c>
      <c r="DW103" s="613"/>
      <c r="DX103" s="613"/>
      <c r="DY103" s="615" t="str">
        <f t="shared" si="256"/>
        <v>0</v>
      </c>
      <c r="DZ103" s="613"/>
      <c r="EA103" s="613"/>
      <c r="EB103" s="615" t="str">
        <f t="shared" si="257"/>
        <v>0</v>
      </c>
      <c r="EC103" s="613"/>
      <c r="ED103" s="613"/>
      <c r="EE103" s="615" t="str">
        <f t="shared" si="258"/>
        <v>0</v>
      </c>
      <c r="EF103" s="616"/>
      <c r="EG103" s="617"/>
      <c r="EH103" s="615" t="str">
        <f t="shared" si="259"/>
        <v>0</v>
      </c>
      <c r="EI103" s="614"/>
      <c r="EJ103" s="594"/>
      <c r="EK103" s="595"/>
      <c r="EL103" s="596" t="str">
        <f t="shared" si="260"/>
        <v>0</v>
      </c>
      <c r="EM103" s="594"/>
      <c r="EN103" s="595"/>
      <c r="EO103" s="596" t="str">
        <f t="shared" si="261"/>
        <v>0</v>
      </c>
      <c r="EP103" s="594"/>
      <c r="EQ103" s="595"/>
      <c r="ER103" s="596" t="str">
        <f t="shared" si="262"/>
        <v>0</v>
      </c>
      <c r="ES103" s="594"/>
      <c r="ET103" s="622"/>
      <c r="EU103" s="597" t="str">
        <f t="shared" si="263"/>
        <v>0</v>
      </c>
      <c r="EV103" s="598"/>
      <c r="EW103" s="599"/>
      <c r="EX103" s="596" t="str">
        <f t="shared" si="264"/>
        <v>0</v>
      </c>
      <c r="EY103" s="600"/>
      <c r="EZ103" s="600"/>
      <c r="FA103" s="596" t="str">
        <f t="shared" si="265"/>
        <v>0</v>
      </c>
      <c r="FB103" s="600"/>
      <c r="FC103" s="600"/>
      <c r="FD103" s="596" t="str">
        <f t="shared" si="266"/>
        <v>0</v>
      </c>
      <c r="FE103" s="600"/>
      <c r="FF103" s="600"/>
      <c r="FG103" s="596" t="str">
        <f t="shared" si="267"/>
        <v>0</v>
      </c>
      <c r="FH103" s="600"/>
      <c r="FI103" s="600"/>
      <c r="FJ103" s="596" t="str">
        <f t="shared" si="268"/>
        <v>0</v>
      </c>
      <c r="FK103" s="600"/>
      <c r="FL103" s="600"/>
      <c r="FM103" s="600"/>
      <c r="FN103" s="600"/>
      <c r="FO103" s="600">
        <f t="shared" si="187"/>
        <v>45078</v>
      </c>
      <c r="FP103" s="598">
        <f t="shared" si="144"/>
        <v>0</v>
      </c>
      <c r="FQ103" s="600"/>
      <c r="FR103" s="600">
        <f t="shared" si="188"/>
        <v>45108</v>
      </c>
      <c r="FS103" s="627"/>
      <c r="FT103" s="627"/>
      <c r="FU103" s="627"/>
      <c r="FV103" s="627"/>
      <c r="FW103" s="628">
        <f t="shared" si="269"/>
        <v>0</v>
      </c>
      <c r="FX103" s="628">
        <f t="shared" si="270"/>
        <v>1503.6</v>
      </c>
      <c r="FY103" s="624"/>
      <c r="FZ103" s="641"/>
      <c r="GA103" s="624"/>
      <c r="GB103" s="624"/>
      <c r="GC103" s="118"/>
      <c r="GD103" s="118"/>
      <c r="GE103" s="96">
        <f>+GO103+GS103+GZ103+HT103+HE103</f>
        <v>0</v>
      </c>
      <c r="GF103" s="70">
        <f t="shared" si="271"/>
        <v>0</v>
      </c>
      <c r="GG103" s="97">
        <f>GF103-GE103</f>
        <v>0</v>
      </c>
      <c r="GH103" s="52" t="e">
        <f>GE103/AI103</f>
        <v>#DIV/0!</v>
      </c>
      <c r="GI103" s="52">
        <f>GE103/AD103</f>
        <v>0</v>
      </c>
      <c r="GJ103" s="96"/>
      <c r="GK103" s="70"/>
      <c r="GL103" s="97">
        <f>GK103-GJ103</f>
        <v>0</v>
      </c>
      <c r="GM103" s="138" t="e">
        <f>GK103*1.021/GF103</f>
        <v>#DIV/0!</v>
      </c>
      <c r="GN103" s="139">
        <v>0.4</v>
      </c>
      <c r="GO103" s="96"/>
      <c r="GP103" s="70"/>
      <c r="GQ103" s="23">
        <f>GO103/AD103</f>
        <v>0</v>
      </c>
      <c r="GR103" s="98"/>
      <c r="GS103" s="96"/>
      <c r="GT103" s="70">
        <f>GU103+GV103</f>
        <v>0</v>
      </c>
      <c r="GU103" s="90"/>
      <c r="GV103" s="90"/>
      <c r="GW103" s="98">
        <f>GT103-GS103</f>
        <v>0</v>
      </c>
      <c r="GX103" s="52">
        <f>GS103/AD103</f>
        <v>0</v>
      </c>
      <c r="GY103" s="70"/>
      <c r="GZ103" s="96"/>
      <c r="HA103" s="70"/>
      <c r="HB103" s="70"/>
      <c r="HC103" s="41" t="e">
        <f>GZ103/GE103</f>
        <v>#DIV/0!</v>
      </c>
      <c r="HD103" s="329"/>
      <c r="HE103" s="70"/>
      <c r="HF103" s="92">
        <f>HA103-GZ103</f>
        <v>0</v>
      </c>
      <c r="HG103" s="23">
        <f>GZ103/AD103</f>
        <v>0</v>
      </c>
      <c r="HH103" s="84">
        <f>(GO103+GZ103)/AD103</f>
        <v>0</v>
      </c>
      <c r="HI103" s="92">
        <f>HF103/AD103</f>
        <v>0</v>
      </c>
      <c r="HJ103" s="93">
        <v>6.31</v>
      </c>
      <c r="HK103" s="93"/>
      <c r="HL103" s="94"/>
      <c r="HM103" s="94"/>
      <c r="HN103" s="52">
        <f>(GO103+GZ103+HM103)/AD103</f>
        <v>0</v>
      </c>
      <c r="HO103" s="94"/>
      <c r="HP103" s="52">
        <f>(GP103+HA103+HM103+HO103)/AD103</f>
        <v>0</v>
      </c>
      <c r="HQ103" s="53" t="e">
        <f>(GO103+GZ103+HM103+HO103)/(HL103+GE103-HR103)</f>
        <v>#DIV/0!</v>
      </c>
      <c r="HR103" s="94"/>
      <c r="HS103" s="94"/>
      <c r="HT103" s="70"/>
      <c r="HU103" s="42">
        <f>GE103+HL103</f>
        <v>0</v>
      </c>
      <c r="HV103" s="296"/>
      <c r="HW103" s="296">
        <f t="shared" si="273"/>
        <v>0</v>
      </c>
      <c r="HX103" s="297"/>
      <c r="HY103" s="300"/>
      <c r="HZ103" s="300"/>
      <c r="IA103" s="272"/>
      <c r="IB103" s="272"/>
      <c r="IC103" s="424"/>
      <c r="ID103" s="281"/>
      <c r="IE103" s="293"/>
      <c r="IF103" s="281"/>
      <c r="IG103" s="523"/>
      <c r="IH103" s="298"/>
      <c r="II103" s="303"/>
      <c r="IJ103" s="301"/>
      <c r="IK103" s="301"/>
      <c r="IL103" s="295"/>
      <c r="IM103" s="296"/>
      <c r="IN103" s="295"/>
      <c r="IO103" s="296"/>
      <c r="IP103" s="326"/>
      <c r="IQ103" s="326"/>
      <c r="IR103" s="326"/>
      <c r="IS103" s="326"/>
      <c r="IT103" s="289"/>
      <c r="IU103" s="289"/>
      <c r="IV103" s="289"/>
      <c r="IW103" s="289"/>
      <c r="IX103" s="289"/>
      <c r="IY103" s="289"/>
      <c r="IZ103" s="300"/>
      <c r="JA103" s="123"/>
      <c r="JB103" s="298"/>
      <c r="JC103" s="123"/>
      <c r="JD103" s="291"/>
      <c r="JE103" s="298"/>
    </row>
    <row r="104" spans="1:265" s="5" customFormat="1" ht="20.100000000000001" customHeight="1">
      <c r="A104" s="334"/>
      <c r="B104" s="141"/>
      <c r="C104" s="141"/>
      <c r="D104" s="141"/>
      <c r="E104" s="141"/>
      <c r="F104" s="141"/>
      <c r="G104" s="141"/>
      <c r="H104" s="141"/>
      <c r="I104" s="141"/>
      <c r="J104" s="141"/>
      <c r="K104" s="337"/>
      <c r="L104" s="207"/>
      <c r="M104" s="207"/>
      <c r="N104" s="207"/>
      <c r="O104" s="141"/>
      <c r="P104" s="141"/>
      <c r="Q104" s="141"/>
      <c r="R104" s="141"/>
      <c r="S104" s="141"/>
      <c r="T104" s="142"/>
      <c r="U104" s="141"/>
      <c r="V104" s="64"/>
      <c r="W104" s="141"/>
      <c r="X104" s="141"/>
      <c r="Y104" s="141"/>
      <c r="Z104" s="141"/>
      <c r="AA104" s="141"/>
      <c r="AB104" s="141"/>
      <c r="AC104" s="141"/>
      <c r="AD104" s="346">
        <f>SUM(Nlgts)</f>
        <v>3540</v>
      </c>
      <c r="AE104" s="17">
        <f>SUM(AE2:AE103)</f>
        <v>697</v>
      </c>
      <c r="AF104" s="17">
        <f>SUM(AF2:AF103)</f>
        <v>1784</v>
      </c>
      <c r="AG104" s="17">
        <f>SUM(AG2:AG103)</f>
        <v>409</v>
      </c>
      <c r="AH104" s="17">
        <f>SUM(AH2:AH103)</f>
        <v>650</v>
      </c>
      <c r="AI104" s="141"/>
      <c r="AJ104" s="141"/>
      <c r="AK104" s="141"/>
      <c r="AL104" s="141"/>
      <c r="AM104" s="141"/>
      <c r="AN104" s="141"/>
      <c r="AO104" s="141"/>
      <c r="AP104" s="141"/>
      <c r="AQ104" s="141"/>
      <c r="AR104" s="143"/>
      <c r="AS104" s="83"/>
      <c r="AT104" s="141"/>
      <c r="AU104" s="141"/>
      <c r="AV104" s="141"/>
      <c r="AW104" s="141"/>
      <c r="AX104" s="141"/>
      <c r="AY104" s="181"/>
      <c r="AZ104" s="181"/>
      <c r="BA104" s="2"/>
      <c r="BB104" s="2"/>
      <c r="BC104" s="2"/>
      <c r="BD104" s="182"/>
      <c r="BE104" s="182"/>
      <c r="BF104" s="182"/>
      <c r="BG104" s="183"/>
      <c r="BH104" s="183"/>
      <c r="BI104" s="183"/>
      <c r="BJ104" s="183"/>
      <c r="BK104" s="183"/>
      <c r="BL104" s="183"/>
      <c r="BM104" s="183"/>
      <c r="BN104" s="183"/>
      <c r="BO104" s="183"/>
      <c r="BP104" s="183"/>
      <c r="BQ104" s="184"/>
      <c r="BR104" s="185"/>
      <c r="BS104" s="185"/>
      <c r="BT104" s="185"/>
      <c r="BU104" s="186"/>
      <c r="BV104" s="233"/>
      <c r="BW104" s="233"/>
      <c r="BX104" s="187"/>
      <c r="BY104" s="187"/>
      <c r="BZ104" s="187"/>
      <c r="CA104" s="187"/>
      <c r="CB104" s="187"/>
      <c r="CC104" s="676"/>
      <c r="CD104" s="141"/>
      <c r="CE104" s="141"/>
      <c r="CF104" s="141"/>
      <c r="CG104" s="141"/>
      <c r="CH104" s="240"/>
      <c r="CI104" s="240"/>
      <c r="CJ104" s="141"/>
      <c r="CK104" s="141"/>
      <c r="CL104" s="141"/>
      <c r="CM104" s="141"/>
      <c r="CN104" s="141"/>
      <c r="CO104" s="141"/>
      <c r="CP104" s="141"/>
      <c r="CQ104" s="141"/>
      <c r="CR104" s="141"/>
      <c r="CS104" s="141"/>
      <c r="CT104" s="141"/>
      <c r="CU104" s="141"/>
      <c r="CV104" s="141"/>
      <c r="CW104" s="141"/>
      <c r="CX104" s="363"/>
      <c r="CY104" s="141"/>
      <c r="CZ104" s="141"/>
      <c r="DA104" s="141"/>
      <c r="DB104" s="141"/>
      <c r="DC104" s="141"/>
      <c r="DD104" s="141"/>
      <c r="DE104" s="141"/>
      <c r="DF104" s="141"/>
      <c r="DG104" s="141"/>
      <c r="DH104" s="141"/>
      <c r="DI104" s="141"/>
      <c r="DJ104" s="141"/>
      <c r="DK104" s="141"/>
      <c r="DL104" s="141"/>
      <c r="DM104" s="141"/>
      <c r="DN104" s="141"/>
      <c r="DO104" s="141"/>
      <c r="DP104" s="141"/>
      <c r="DQ104" s="141"/>
      <c r="DR104" s="141"/>
      <c r="DX104" s="633"/>
      <c r="ES104" s="14"/>
      <c r="ET104" s="14"/>
      <c r="EU104" s="14"/>
      <c r="EV104" s="14"/>
      <c r="EW104" s="14"/>
      <c r="FF104" s="14"/>
      <c r="FG104" s="14"/>
      <c r="FH104" s="14"/>
      <c r="FI104" s="14"/>
      <c r="FJ104" s="14"/>
      <c r="FK104" s="14"/>
      <c r="FL104" s="14"/>
      <c r="FM104" s="14"/>
      <c r="FN104" s="14"/>
      <c r="FO104" s="14"/>
      <c r="FP104" s="14"/>
      <c r="FQ104" s="14"/>
      <c r="FR104" s="14"/>
      <c r="FS104" s="666"/>
      <c r="FT104" s="666"/>
      <c r="FU104" s="666"/>
      <c r="FV104" s="666"/>
      <c r="FZ104" s="658"/>
      <c r="GC104" s="187"/>
      <c r="GD104" s="187"/>
      <c r="GE104" s="144">
        <f>SUM(Bdgt)</f>
        <v>386634580.95529413</v>
      </c>
      <c r="GF104" s="144">
        <f>SUM(GF2:GF103)</f>
        <v>333555510.4471941</v>
      </c>
      <c r="GG104" s="145" t="e">
        <f>SUM(GG12:GJ103)</f>
        <v>#DIV/0!</v>
      </c>
      <c r="GH104" s="144"/>
      <c r="GI104" s="144"/>
      <c r="GJ104" s="144">
        <f>SUM(GJ2:GJ103)</f>
        <v>218950035.67363253</v>
      </c>
      <c r="GK104" s="144">
        <f>SUM(GK2:GK103)</f>
        <v>178129062.09983569</v>
      </c>
      <c r="GL104" s="144"/>
      <c r="GM104" s="144"/>
      <c r="GN104" s="144"/>
      <c r="GO104" s="144">
        <f>SUM(GO2:GO103)</f>
        <v>109502080.38996667</v>
      </c>
      <c r="GP104" s="144">
        <f>SUM(GP2:GP103)</f>
        <v>96102409.067048654</v>
      </c>
      <c r="GQ104" s="144"/>
      <c r="GR104" s="144">
        <f t="shared" ref="GR104:GW104" si="274">SUM(GR12:GR103)</f>
        <v>5930372.5869245883</v>
      </c>
      <c r="GS104" s="144">
        <f t="shared" si="274"/>
        <v>209642229.53865239</v>
      </c>
      <c r="GT104" s="144">
        <f t="shared" si="274"/>
        <v>171465509.755</v>
      </c>
      <c r="GU104" s="144">
        <f t="shared" si="274"/>
        <v>32830527.390000004</v>
      </c>
      <c r="GV104" s="144">
        <f t="shared" si="274"/>
        <v>129591254.36499999</v>
      </c>
      <c r="GW104" s="144">
        <f t="shared" si="274"/>
        <v>-38022424.78365235</v>
      </c>
      <c r="GX104" s="144"/>
      <c r="GY104" s="144"/>
      <c r="GZ104" s="144">
        <f>SUM(GZ2:GZ103)</f>
        <v>39825573</v>
      </c>
      <c r="HA104" s="144">
        <f>SUM(HA2:HA103)</f>
        <v>30239154</v>
      </c>
      <c r="HB104" s="144"/>
      <c r="HC104" s="144" t="e">
        <f>SUM(HC12:HI103)</f>
        <v>#REF!</v>
      </c>
      <c r="HD104" s="144"/>
      <c r="HE104" s="144">
        <f t="shared" ref="HE104:HS104" si="275">SUM(HE2:HE103)</f>
        <v>4727746.7299999995</v>
      </c>
      <c r="HF104" s="144">
        <f t="shared" si="275"/>
        <v>-9225379</v>
      </c>
      <c r="HG104" s="144" t="e">
        <f t="shared" si="275"/>
        <v>#DIV/0!</v>
      </c>
      <c r="HH104" s="144" t="e">
        <f t="shared" si="275"/>
        <v>#DIV/0!</v>
      </c>
      <c r="HI104" s="144" t="e">
        <f t="shared" si="275"/>
        <v>#REF!</v>
      </c>
      <c r="HJ104" s="144">
        <f t="shared" si="275"/>
        <v>351.42000000000007</v>
      </c>
      <c r="HK104" s="144">
        <f t="shared" si="275"/>
        <v>146.00000000000003</v>
      </c>
      <c r="HL104" s="144">
        <f t="shared" si="275"/>
        <v>26012833.052462012</v>
      </c>
      <c r="HM104" s="144">
        <f t="shared" si="275"/>
        <v>12796145.386517435</v>
      </c>
      <c r="HN104" s="144" t="e">
        <f t="shared" si="275"/>
        <v>#REF!</v>
      </c>
      <c r="HO104" s="144">
        <f t="shared" si="275"/>
        <v>3946842.3517225008</v>
      </c>
      <c r="HP104" s="144" t="e">
        <f t="shared" si="275"/>
        <v>#REF!</v>
      </c>
      <c r="HQ104" s="144" t="e">
        <f t="shared" si="275"/>
        <v>#DIV/0!</v>
      </c>
      <c r="HR104" s="144">
        <f t="shared" si="275"/>
        <v>5900842.4150999999</v>
      </c>
      <c r="HS104" s="144">
        <f t="shared" si="275"/>
        <v>0</v>
      </c>
      <c r="HT104" s="144">
        <f>SUM(HT2:HT103)</f>
        <v>7090498.8951454777</v>
      </c>
      <c r="HU104" s="144">
        <f>SUM(HU2:HU103)</f>
        <v>424260323.08832514</v>
      </c>
    </row>
    <row r="105" spans="1:265" s="5" customFormat="1" ht="14.25" customHeight="1">
      <c r="A105" s="334"/>
      <c r="B105" s="147"/>
      <c r="C105" s="147"/>
      <c r="D105" s="147"/>
      <c r="E105" s="147"/>
      <c r="F105" s="147"/>
      <c r="G105" s="147"/>
      <c r="H105" s="147"/>
      <c r="I105" s="147"/>
      <c r="J105" s="147"/>
      <c r="K105" s="338"/>
      <c r="L105" s="208"/>
      <c r="M105" s="208"/>
      <c r="N105" s="208"/>
      <c r="O105" s="147"/>
      <c r="P105" s="147"/>
      <c r="Q105" s="147"/>
      <c r="R105" s="147"/>
      <c r="S105" s="147"/>
      <c r="T105" s="146"/>
      <c r="U105" s="147"/>
      <c r="V105" s="147"/>
      <c r="W105" s="147"/>
      <c r="X105" s="147"/>
      <c r="Y105" s="147"/>
      <c r="Z105" s="147"/>
      <c r="AA105" s="147"/>
      <c r="AB105" s="147"/>
      <c r="AC105" s="147"/>
      <c r="AD105" s="147"/>
      <c r="AE105" s="147"/>
      <c r="AF105" s="162"/>
      <c r="AG105" s="162"/>
      <c r="AH105" s="162"/>
      <c r="AI105" s="147"/>
      <c r="AJ105" s="147"/>
      <c r="AK105" s="147"/>
      <c r="AL105" s="147"/>
      <c r="AM105" s="147"/>
      <c r="AN105" s="147"/>
      <c r="AO105" s="147"/>
      <c r="AP105" s="147"/>
      <c r="AQ105" s="147"/>
      <c r="AR105" s="148"/>
      <c r="AS105" s="108"/>
      <c r="AT105" s="147"/>
      <c r="AU105" s="147"/>
      <c r="AV105" s="147"/>
      <c r="AW105" s="147"/>
      <c r="AX105" s="147"/>
      <c r="AY105" s="188"/>
      <c r="AZ105" s="188"/>
      <c r="BA105" s="188"/>
      <c r="BB105" s="188"/>
      <c r="BC105" s="188"/>
      <c r="BD105" s="188"/>
      <c r="BE105" s="188"/>
      <c r="BF105" s="188"/>
      <c r="BG105" s="188"/>
      <c r="BH105" s="188"/>
      <c r="BI105" s="188"/>
      <c r="BJ105" s="188"/>
      <c r="BK105" s="188"/>
      <c r="BL105" s="188"/>
      <c r="BM105" s="188"/>
      <c r="BN105" s="188"/>
      <c r="BO105" s="188"/>
      <c r="BP105" s="188"/>
      <c r="BQ105" s="188"/>
      <c r="BR105" s="188"/>
      <c r="BS105" s="188"/>
      <c r="BT105" s="188"/>
      <c r="BU105" s="188"/>
      <c r="BV105" s="234"/>
      <c r="BW105" s="234"/>
      <c r="BX105" s="188"/>
      <c r="BY105" s="188"/>
      <c r="BZ105" s="188"/>
      <c r="CA105" s="188"/>
      <c r="CB105" s="188"/>
      <c r="CC105" s="677"/>
      <c r="CD105" s="147"/>
      <c r="CE105" s="147"/>
      <c r="CF105" s="147"/>
      <c r="CG105" s="147"/>
      <c r="CH105" s="241"/>
      <c r="CI105" s="241"/>
      <c r="CJ105" s="147"/>
      <c r="CK105" s="147"/>
      <c r="CL105" s="147"/>
      <c r="CM105" s="147"/>
      <c r="CN105" s="147"/>
      <c r="CO105" s="147"/>
      <c r="CP105" s="147"/>
      <c r="CQ105" s="147"/>
      <c r="CR105" s="147"/>
      <c r="CS105" s="147"/>
      <c r="CT105" s="147"/>
      <c r="CU105" s="147"/>
      <c r="CV105" s="147"/>
      <c r="CW105" s="147"/>
      <c r="CX105" s="364"/>
      <c r="CY105" s="147"/>
      <c r="CZ105" s="147"/>
      <c r="DA105" s="147"/>
      <c r="DB105" s="147"/>
      <c r="DC105" s="147"/>
      <c r="DD105" s="147"/>
      <c r="DE105" s="147"/>
      <c r="DF105" s="147"/>
      <c r="DG105" s="147"/>
      <c r="DH105" s="147"/>
      <c r="DI105" s="147"/>
      <c r="DJ105" s="147"/>
      <c r="DK105" s="147"/>
      <c r="DL105" s="147"/>
      <c r="DM105" s="147"/>
      <c r="DN105" s="147"/>
      <c r="DO105" s="147"/>
      <c r="DP105" s="147"/>
      <c r="DQ105" s="147"/>
      <c r="DR105" s="147"/>
      <c r="DT105" s="633"/>
      <c r="DU105" s="633"/>
      <c r="DX105" s="633"/>
      <c r="DZ105" s="633"/>
      <c r="EF105" s="633"/>
      <c r="EG105" s="633"/>
      <c r="EI105" s="633"/>
      <c r="EJ105" s="633"/>
      <c r="EK105" s="633"/>
      <c r="EM105" s="633"/>
      <c r="EN105" s="633"/>
      <c r="EP105" s="633"/>
      <c r="EQ105" s="633"/>
      <c r="ES105" s="634"/>
      <c r="ET105" s="634"/>
      <c r="EU105" s="14"/>
      <c r="EV105" s="634"/>
      <c r="EW105" s="634"/>
      <c r="EY105" s="633"/>
      <c r="EZ105" s="633"/>
      <c r="FB105" s="633"/>
      <c r="FC105" s="633"/>
      <c r="FE105" s="633"/>
      <c r="FF105" s="634"/>
      <c r="FG105" s="14"/>
      <c r="FH105" s="634"/>
      <c r="FI105" s="634"/>
      <c r="FJ105" s="14"/>
      <c r="FK105" s="634"/>
      <c r="FL105" s="634"/>
      <c r="FM105" s="634"/>
      <c r="FN105" s="634"/>
      <c r="FO105" s="634"/>
      <c r="FP105" s="14"/>
      <c r="FQ105" s="634"/>
      <c r="FR105" s="634"/>
      <c r="FS105" s="666"/>
      <c r="FT105" s="666"/>
      <c r="FU105" s="666"/>
      <c r="FV105" s="666"/>
      <c r="FZ105" s="658"/>
      <c r="GA105" s="658"/>
      <c r="GC105" s="188"/>
      <c r="GD105" s="724"/>
      <c r="GE105" s="144"/>
      <c r="GF105" s="147"/>
      <c r="GG105" s="146"/>
      <c r="GH105" s="147"/>
      <c r="GI105" s="147"/>
      <c r="GJ105" s="147"/>
      <c r="GK105" s="147"/>
      <c r="GL105" s="147"/>
      <c r="GM105" s="147"/>
      <c r="GN105" s="147"/>
      <c r="GO105" s="147"/>
      <c r="GP105" s="147"/>
      <c r="GQ105" s="147"/>
      <c r="GR105" s="147"/>
      <c r="GS105" s="147"/>
      <c r="GT105" s="147"/>
      <c r="GU105" s="147"/>
      <c r="GV105" s="147"/>
      <c r="GW105" s="147"/>
      <c r="GX105" s="147"/>
      <c r="GY105" s="147"/>
      <c r="GZ105" s="147"/>
      <c r="HA105" s="147"/>
      <c r="HB105" s="147"/>
      <c r="HC105" s="147"/>
      <c r="HD105" s="147"/>
      <c r="HE105" s="147"/>
      <c r="HF105" s="147"/>
      <c r="HG105" s="147"/>
      <c r="HH105" s="147"/>
      <c r="HI105" s="147"/>
      <c r="HJ105" s="147"/>
      <c r="HK105" s="147"/>
      <c r="HL105" s="149"/>
      <c r="HM105" s="149"/>
      <c r="HN105" s="149"/>
      <c r="HO105" s="149"/>
      <c r="HP105" s="149"/>
      <c r="HQ105" s="149"/>
      <c r="HR105" s="146"/>
      <c r="HS105" s="149"/>
      <c r="HT105" s="149"/>
      <c r="HU105" s="149"/>
    </row>
    <row r="106" spans="1:265" s="5" customFormat="1" ht="19.5" customHeight="1">
      <c r="A106" s="335"/>
      <c r="E106" s="14"/>
      <c r="F106" s="14"/>
      <c r="G106" s="14"/>
      <c r="H106" s="14"/>
      <c r="I106" s="14"/>
      <c r="J106" s="14"/>
      <c r="K106" s="339"/>
      <c r="L106" s="209"/>
      <c r="M106" s="209"/>
      <c r="N106" s="209"/>
      <c r="T106" s="14"/>
      <c r="AF106" s="162"/>
      <c r="AG106" s="162"/>
      <c r="AH106" s="162"/>
      <c r="AJ106" s="270"/>
      <c r="AL106" s="150"/>
      <c r="AM106" s="150"/>
      <c r="AN106" s="150"/>
      <c r="AO106" s="150"/>
      <c r="AP106" s="150"/>
      <c r="AR106" s="151"/>
      <c r="AS106" s="47"/>
      <c r="AY106" s="189"/>
      <c r="AZ106" s="190"/>
      <c r="BA106" s="189"/>
      <c r="BB106" s="190"/>
      <c r="BC106" s="190"/>
      <c r="BD106" s="189"/>
      <c r="BE106" s="189"/>
      <c r="BF106" s="189"/>
      <c r="BG106" s="189"/>
      <c r="BH106" s="189"/>
      <c r="BI106" s="189"/>
      <c r="BJ106" s="189"/>
      <c r="BK106" s="189"/>
      <c r="BL106" s="189"/>
      <c r="BM106" s="189"/>
      <c r="BN106" s="189"/>
      <c r="BO106" s="189"/>
      <c r="BP106" s="189"/>
      <c r="BQ106" s="189"/>
      <c r="BR106" s="189"/>
      <c r="BS106" s="189"/>
      <c r="BT106" s="189"/>
      <c r="BU106" s="189"/>
      <c r="BV106" s="235"/>
      <c r="BW106" s="235"/>
      <c r="BX106" s="189"/>
      <c r="BY106" s="189"/>
      <c r="BZ106" s="189"/>
      <c r="CA106" s="189"/>
      <c r="CB106" s="189"/>
      <c r="CC106" s="678"/>
      <c r="CH106" s="242"/>
      <c r="CI106" s="242"/>
      <c r="CX106" s="365"/>
      <c r="DT106" s="633"/>
      <c r="DU106" s="633"/>
      <c r="DV106" s="302"/>
      <c r="DX106" s="633"/>
      <c r="DZ106" s="633"/>
      <c r="EF106" s="633"/>
      <c r="EG106" s="633"/>
      <c r="EI106" s="633"/>
      <c r="EJ106" s="633"/>
      <c r="EK106" s="633"/>
      <c r="EM106" s="633"/>
      <c r="EN106" s="633"/>
      <c r="EP106" s="633"/>
      <c r="EQ106" s="633"/>
      <c r="ER106" s="302"/>
      <c r="ES106" s="634"/>
      <c r="ET106" s="634"/>
      <c r="EU106" s="14"/>
      <c r="EV106" s="634"/>
      <c r="EW106" s="634"/>
      <c r="EY106" s="633"/>
      <c r="EZ106" s="633"/>
      <c r="FB106" s="633"/>
      <c r="FC106" s="633"/>
      <c r="FE106" s="633"/>
      <c r="FF106" s="634"/>
      <c r="FG106" s="14"/>
      <c r="FH106" s="634"/>
      <c r="FI106" s="634"/>
      <c r="FJ106" s="14"/>
      <c r="FK106" s="634"/>
      <c r="FL106" s="634"/>
      <c r="FM106" s="634"/>
      <c r="FN106" s="634"/>
      <c r="FO106" s="634"/>
      <c r="FP106" s="14"/>
      <c r="FQ106" s="634"/>
      <c r="FR106" s="634"/>
      <c r="FS106" s="666"/>
      <c r="FT106" s="666"/>
      <c r="FU106" s="666"/>
      <c r="FV106" s="666"/>
      <c r="FZ106" s="658"/>
      <c r="GA106" s="658"/>
      <c r="GC106" s="189"/>
      <c r="GD106" s="725"/>
      <c r="GG106" s="14"/>
      <c r="GT106" s="5" t="s">
        <v>416</v>
      </c>
      <c r="GV106" s="5" t="s">
        <v>180</v>
      </c>
      <c r="HR106" s="14"/>
      <c r="HU106" s="271"/>
    </row>
    <row r="107" spans="1:265" ht="15.75" thickBot="1">
      <c r="C107" s="152"/>
      <c r="O107" s="152"/>
      <c r="P107" s="152"/>
      <c r="Q107" s="152"/>
      <c r="R107" s="152"/>
      <c r="S107" s="152"/>
      <c r="T107" s="152"/>
      <c r="U107" s="152"/>
      <c r="V107" s="152"/>
      <c r="W107" s="152"/>
      <c r="X107" s="152"/>
      <c r="Y107" s="152"/>
      <c r="Z107" s="152"/>
      <c r="AA107" s="152"/>
      <c r="AB107" s="152"/>
      <c r="FH107" s="634"/>
      <c r="FI107" s="634"/>
      <c r="FJ107" s="14"/>
      <c r="FK107" s="634"/>
      <c r="FL107" s="634"/>
      <c r="FM107" s="634"/>
      <c r="FN107" s="634"/>
      <c r="FO107" s="634"/>
      <c r="FP107" s="14"/>
      <c r="FQ107" s="634"/>
      <c r="FR107" s="634"/>
      <c r="GE107" s="154"/>
      <c r="GH107" s="154"/>
      <c r="GI107" s="154"/>
      <c r="GO107" s="154"/>
      <c r="GZ107" s="155"/>
      <c r="HA107" s="155"/>
      <c r="HB107" s="14"/>
      <c r="HC107" s="14"/>
      <c r="HD107" s="14"/>
      <c r="HE107" s="14"/>
      <c r="HF107" s="14"/>
      <c r="HG107" s="14"/>
      <c r="HH107" s="14"/>
    </row>
    <row r="108" spans="1:265" ht="15.75" thickBot="1">
      <c r="AD108" s="27">
        <f>SUBTOTAL(9,AD2:AD103)</f>
        <v>3540</v>
      </c>
      <c r="AE108" s="27">
        <f>SUBTOTAL(9,AE2:AE103)</f>
        <v>697</v>
      </c>
      <c r="AF108" s="27">
        <f>SUBTOTAL(9,AF2:AF103)</f>
        <v>1784</v>
      </c>
      <c r="AG108" s="27">
        <f>SUBTOTAL(9,AG2:AG103)</f>
        <v>409</v>
      </c>
      <c r="AH108" s="27">
        <f>SUBTOTAL(9,AH2:AH103)</f>
        <v>650</v>
      </c>
      <c r="AI108" s="54">
        <f>SUBTOTAL(9,AI24:AI103)</f>
        <v>135476.14799999999</v>
      </c>
      <c r="AJ108" s="54">
        <f>SUBTOTAL(9,AJ24:AJ103)</f>
        <v>114705.22999999998</v>
      </c>
      <c r="AK108" s="87">
        <f>AJ108/AD108</f>
        <v>32.402607344632763</v>
      </c>
      <c r="BX108" s="238"/>
      <c r="BY108" s="192">
        <f>SUBTOTAL(9,BY25:BY37)</f>
        <v>551138</v>
      </c>
      <c r="BZ108" s="192"/>
      <c r="CA108" s="192"/>
      <c r="CB108" s="192"/>
      <c r="CC108" s="680"/>
      <c r="FH108" s="634"/>
      <c r="FI108" s="634"/>
      <c r="FJ108" s="14"/>
      <c r="FK108" s="634"/>
      <c r="FL108" s="634"/>
      <c r="FM108" s="634"/>
      <c r="FN108" s="634"/>
      <c r="FO108" s="634"/>
      <c r="FP108" s="14"/>
      <c r="FQ108" s="634"/>
      <c r="FR108" s="634"/>
      <c r="GE108" s="28">
        <f>SUBTOTAL(9,GE2:GE103)</f>
        <v>394120906.95529419</v>
      </c>
      <c r="GF108" s="28">
        <f>SUBTOTAL(9,GF2:GF103)</f>
        <v>333555510.4471941</v>
      </c>
      <c r="GG108" s="155">
        <f>SUBTOTAL(9,GG24:GG103)</f>
        <v>-60678707.101202331</v>
      </c>
      <c r="GH108" s="28">
        <f>GF108/AJ108</f>
        <v>2907.9363726239349</v>
      </c>
      <c r="GI108" s="28">
        <f>GF108/AD108</f>
        <v>94224.720465309074</v>
      </c>
      <c r="GJ108" s="28">
        <f>SUBTOTAL(9,GJ2:GJ103)</f>
        <v>218950035.67363253</v>
      </c>
      <c r="GK108" s="28">
        <f>SUBTOTAL(9,GK2:GK103)</f>
        <v>178129062.09983569</v>
      </c>
      <c r="GL108" s="155">
        <f>GJ108-GK108</f>
        <v>40820973.573796839</v>
      </c>
      <c r="GM108" s="155"/>
      <c r="GN108" s="155"/>
      <c r="GO108" s="28">
        <f>SUBTOTAL(9,GO2:GO103)</f>
        <v>109502080.38996667</v>
      </c>
      <c r="GP108" s="28">
        <f>SUBTOTAL(9,GP2:GP103)</f>
        <v>96102409.067048654</v>
      </c>
      <c r="GQ108" s="28">
        <f>+GP108/AD108</f>
        <v>27147.573182782107</v>
      </c>
      <c r="GR108" s="155">
        <f>GP108-GO108</f>
        <v>-13399671.322918013</v>
      </c>
      <c r="GS108" s="28">
        <f>SUBTOTAL(9,GS2:GS103)</f>
        <v>232423763.53865236</v>
      </c>
      <c r="GT108" s="28">
        <f>SUBTOTAL(9,GT2:GT103)</f>
        <v>190862980.75499997</v>
      </c>
      <c r="GU108" s="54">
        <f>SUBTOTAL(9,GU2:GU103)</f>
        <v>38315609.390000001</v>
      </c>
      <c r="GV108" s="54">
        <f>SUBTOTAL(9,GV2:GV103)</f>
        <v>146887706.36499998</v>
      </c>
      <c r="GW108" s="155">
        <f>SUBTOTAL(9,GW24:GW103)</f>
        <v>-37954137.78365235</v>
      </c>
      <c r="GX108" s="28">
        <f>GT108/AD108</f>
        <v>53916.096258474565</v>
      </c>
      <c r="GY108" s="155"/>
      <c r="GZ108" s="28">
        <f>SUBTOTAL(9,GZ2:GZ103)</f>
        <v>39825573</v>
      </c>
      <c r="HA108" s="28">
        <f>SUBTOTAL(9,HA2:HA103)</f>
        <v>30239154</v>
      </c>
      <c r="HB108" s="28">
        <f>SUBTOTAL(9,HB2:HB103)</f>
        <v>989394</v>
      </c>
      <c r="HC108" s="14"/>
      <c r="HD108" s="28">
        <f>SUBTOTAL(9,HD2:HD103)</f>
        <v>1035625</v>
      </c>
      <c r="HE108" s="28">
        <f>SUBTOTAL(9,HE2:HE103)</f>
        <v>4727746.7299999995</v>
      </c>
      <c r="HF108" s="28">
        <f>SUBTOTAL(9,HF2:HF103)</f>
        <v>-9225379</v>
      </c>
      <c r="HG108" s="28">
        <f>+GZ108/AD108</f>
        <v>11250.16186440678</v>
      </c>
      <c r="HH108" s="28">
        <f>(GP108+HA108)/AD108</f>
        <v>35689.707081087188</v>
      </c>
      <c r="HI108" s="29">
        <f>+HA108/AE108</f>
        <v>43384.725968436156</v>
      </c>
      <c r="HJ108" s="29"/>
      <c r="HK108" s="29"/>
      <c r="HL108" s="28">
        <f>SUBTOTAL(9,HL2:HL103)</f>
        <v>26012833.052462012</v>
      </c>
      <c r="HM108" s="28">
        <f>SUBTOTAL(9,HM2:HM103)</f>
        <v>12796145.386517435</v>
      </c>
      <c r="HN108" s="30">
        <f>(GP108+HA108+HM108)/AD108</f>
        <v>39304.4374162616</v>
      </c>
      <c r="HO108" s="28">
        <f>SUBTOTAL(9,HO2:HO103)</f>
        <v>3946842.3517225008</v>
      </c>
      <c r="HP108" s="28">
        <f>(GP108+HA108+HM108+HO108)/AD108</f>
        <v>40419.364634262311</v>
      </c>
      <c r="HQ108" s="31"/>
      <c r="HR108" s="31">
        <f>SUBTOTAL(9,HR2:HR103)</f>
        <v>5900842.4150999999</v>
      </c>
      <c r="HS108" s="28">
        <f>SUBTOTAL(9,HS2:HS103)</f>
        <v>0</v>
      </c>
      <c r="HT108" s="28">
        <f>SUBTOTAL(9,HT2:HT103)</f>
        <v>7090498.8951454777</v>
      </c>
      <c r="HU108" s="14">
        <f>SUBTOTAL(9,HU25:HU37)</f>
        <v>75246532.35516575</v>
      </c>
    </row>
    <row r="109" spans="1:265">
      <c r="T109" s="14">
        <f>4599916/AD108</f>
        <v>1299.4112994350282</v>
      </c>
      <c r="AE109" s="32">
        <f>AE108/$AD$108</f>
        <v>0.19689265536723163</v>
      </c>
      <c r="AF109" s="32">
        <f>AF108/$AD$108</f>
        <v>0.50395480225988698</v>
      </c>
      <c r="AG109" s="32"/>
      <c r="AH109" s="32"/>
      <c r="CI109" s="243">
        <f>12*30</f>
        <v>360</v>
      </c>
      <c r="CM109" s="457" t="s">
        <v>710</v>
      </c>
      <c r="FH109" s="634"/>
      <c r="FI109" s="634"/>
      <c r="FJ109" s="14"/>
      <c r="FK109" s="634"/>
      <c r="FL109" s="634"/>
      <c r="FM109" s="634"/>
      <c r="FN109" s="634"/>
      <c r="FO109" s="634"/>
      <c r="FP109" s="14"/>
      <c r="FQ109" s="634"/>
      <c r="FR109" s="634"/>
      <c r="GO109" s="32">
        <f>GO108/GE108</f>
        <v>0.27783880138687411</v>
      </c>
      <c r="GZ109" s="32">
        <f>GZ108/GE108</f>
        <v>0.10104912552765814</v>
      </c>
      <c r="HA109" s="155"/>
      <c r="HB109" s="155"/>
      <c r="HC109" s="14"/>
      <c r="HD109" s="14"/>
      <c r="HE109" s="14"/>
      <c r="HF109" s="14"/>
      <c r="HG109" s="14"/>
      <c r="HH109" s="14"/>
      <c r="HS109" s="44"/>
    </row>
    <row r="110" spans="1:265">
      <c r="Y110" s="14" t="s">
        <v>626</v>
      </c>
      <c r="AR110" s="14"/>
      <c r="AS110" s="14"/>
      <c r="AY110" s="14"/>
      <c r="AZ110" s="14"/>
      <c r="BA110" s="14"/>
      <c r="BB110" s="14"/>
      <c r="BC110" s="14"/>
      <c r="BD110" s="14"/>
      <c r="BE110" s="14"/>
      <c r="BF110" s="14"/>
      <c r="BG110" s="14"/>
      <c r="BH110" s="14"/>
      <c r="BI110" s="14"/>
      <c r="BJ110" s="14"/>
      <c r="BK110" s="14"/>
      <c r="BL110" s="14"/>
      <c r="BM110" s="14"/>
      <c r="BN110" s="14"/>
      <c r="BO110" s="14"/>
      <c r="BP110" s="14"/>
      <c r="BQ110" s="14"/>
      <c r="BR110" s="14"/>
      <c r="BS110" s="14"/>
      <c r="BT110" s="14"/>
      <c r="BU110" s="14"/>
      <c r="BV110" s="14"/>
      <c r="BW110" s="14"/>
      <c r="BX110" s="14"/>
      <c r="BY110" s="14"/>
      <c r="BZ110" s="14"/>
      <c r="CA110" s="14"/>
      <c r="CB110" s="14"/>
      <c r="CC110" s="243"/>
      <c r="CH110" s="14"/>
      <c r="CI110" s="14"/>
      <c r="FH110" s="634"/>
      <c r="FI110" s="634"/>
      <c r="FJ110" s="14"/>
      <c r="FK110" s="634"/>
      <c r="FL110" s="634"/>
      <c r="FM110" s="634"/>
      <c r="FN110" s="634"/>
      <c r="FO110" s="634"/>
      <c r="FP110" s="14"/>
      <c r="FQ110" s="634"/>
      <c r="FR110" s="634"/>
      <c r="GC110" s="14"/>
      <c r="GD110" s="728"/>
      <c r="GS110" s="154"/>
      <c r="HA110" s="319"/>
      <c r="HB110" s="71"/>
      <c r="HC110" s="73"/>
      <c r="HD110" s="73"/>
      <c r="HE110" s="14"/>
      <c r="HF110" s="14"/>
      <c r="HG110" s="72"/>
      <c r="HH110" s="72"/>
      <c r="HS110" s="44"/>
      <c r="HV110" s="209"/>
      <c r="HW110" s="209"/>
    </row>
    <row r="111" spans="1:265" ht="34.15" customHeight="1">
      <c r="A111" s="369"/>
      <c r="B111" s="156"/>
      <c r="G111" s="14">
        <f>AD108+55</f>
        <v>3595</v>
      </c>
      <c r="W111" s="14">
        <f>O44/AF111</f>
        <v>227.01323307673994</v>
      </c>
      <c r="X111" s="14">
        <f>Y111/W44</f>
        <v>12.48757360250822</v>
      </c>
      <c r="Y111" s="14">
        <v>3550</v>
      </c>
      <c r="AE111" s="32"/>
      <c r="AF111" s="7">
        <f>AJ111/AK111</f>
        <v>57.604571428571433</v>
      </c>
      <c r="AG111" s="142"/>
      <c r="AH111" s="142"/>
      <c r="AJ111" s="392">
        <f>AJ44</f>
        <v>4032.32</v>
      </c>
      <c r="AK111" s="14">
        <v>70</v>
      </c>
      <c r="CR111" s="243"/>
      <c r="CS111" s="243"/>
      <c r="FH111" s="634"/>
      <c r="FI111" s="634"/>
      <c r="FJ111" s="14"/>
      <c r="FK111" s="634"/>
      <c r="FL111" s="634"/>
      <c r="FM111" s="634"/>
      <c r="FN111" s="634"/>
      <c r="FO111" s="634"/>
      <c r="FP111" s="14"/>
      <c r="FQ111" s="634"/>
      <c r="FR111" s="634"/>
      <c r="GE111" s="155"/>
      <c r="GF111" s="154">
        <f>GF108*1.2944%</f>
        <v>4317542.5272284802</v>
      </c>
      <c r="GZ111" s="76" t="s">
        <v>373</v>
      </c>
      <c r="HD111" s="77">
        <f>SUBTOTAL(9,HD112:HD113)</f>
        <v>5521553</v>
      </c>
      <c r="HE111" s="77">
        <f>SUBTOTAL(9,HE112:HE113)</f>
        <v>358</v>
      </c>
      <c r="HG111" s="266">
        <f t="shared" ref="HG111:HG118" si="276">HD111/HE111</f>
        <v>15423.332402234637</v>
      </c>
      <c r="HH111" s="72"/>
      <c r="HS111" s="44"/>
      <c r="HT111" s="155"/>
    </row>
    <row r="112" spans="1:265">
      <c r="X112" s="14">
        <f>Y111/W111</f>
        <v>15.637854903374519</v>
      </c>
      <c r="AD112" s="14">
        <f>196+69</f>
        <v>265</v>
      </c>
      <c r="AE112" s="32"/>
      <c r="AF112" s="32"/>
      <c r="AG112" s="32"/>
      <c r="AH112" s="32"/>
      <c r="CH112" s="243" t="s">
        <v>385</v>
      </c>
      <c r="CR112" s="243"/>
      <c r="CS112" s="243"/>
      <c r="FH112" s="634"/>
      <c r="FI112" s="634"/>
      <c r="FJ112" s="14"/>
      <c r="FK112" s="634"/>
      <c r="FL112" s="634"/>
      <c r="FM112" s="634"/>
      <c r="FN112" s="634"/>
      <c r="FO112" s="634"/>
      <c r="FP112" s="14"/>
      <c r="FQ112" s="634"/>
      <c r="FR112" s="634"/>
      <c r="GE112" s="155"/>
      <c r="GF112" s="14">
        <f>GF108*1.204232%</f>
        <v>4016782.1945684548</v>
      </c>
      <c r="GZ112" s="14" t="s">
        <v>371</v>
      </c>
      <c r="HD112" s="155">
        <v>4441553</v>
      </c>
      <c r="HE112" s="155">
        <v>304</v>
      </c>
      <c r="HG112" s="267">
        <f t="shared" si="276"/>
        <v>14610.371710526315</v>
      </c>
      <c r="HH112" s="14"/>
      <c r="HS112" s="44"/>
    </row>
    <row r="113" spans="1:228">
      <c r="A113" s="370"/>
      <c r="D113" s="157"/>
      <c r="AD113" s="243"/>
      <c r="AE113" s="243"/>
      <c r="AF113" s="243"/>
      <c r="AG113" s="243"/>
      <c r="CH113" s="243" t="s">
        <v>275</v>
      </c>
      <c r="CJ113" s="14" t="s">
        <v>386</v>
      </c>
      <c r="DQ113" s="190"/>
      <c r="DR113" s="190"/>
      <c r="FH113" s="634"/>
      <c r="FI113" s="634"/>
      <c r="FJ113" s="14"/>
      <c r="FK113" s="634"/>
      <c r="FL113" s="634"/>
      <c r="FM113" s="634"/>
      <c r="FN113" s="634"/>
      <c r="FO113" s="634"/>
      <c r="FP113" s="14"/>
      <c r="FQ113" s="634"/>
      <c r="FR113" s="634"/>
      <c r="GC113" s="14"/>
      <c r="GD113" s="728"/>
      <c r="GF113" s="154">
        <f>GF111-GF112</f>
        <v>300760.33266002545</v>
      </c>
      <c r="GZ113" s="14" t="s">
        <v>372</v>
      </c>
      <c r="HD113" s="14">
        <v>1080000</v>
      </c>
      <c r="HE113" s="265">
        <v>54</v>
      </c>
      <c r="HG113" s="267">
        <f t="shared" si="276"/>
        <v>20000</v>
      </c>
      <c r="HH113" s="14"/>
    </row>
    <row r="114" spans="1:228" ht="26.45" customHeight="1">
      <c r="O114" s="158"/>
      <c r="P114" s="158" t="s">
        <v>61</v>
      </c>
      <c r="R114" s="157"/>
      <c r="AC114" s="153"/>
      <c r="AD114" s="32"/>
      <c r="AR114" s="14"/>
      <c r="AS114" s="14"/>
      <c r="BG114" s="191"/>
      <c r="BH114" s="191"/>
      <c r="BI114" s="191"/>
      <c r="BJ114" s="191"/>
      <c r="BK114" s="191"/>
      <c r="BL114" s="191"/>
      <c r="BM114" s="191"/>
      <c r="BN114" s="191"/>
      <c r="BO114" s="191"/>
      <c r="BT114" s="190"/>
      <c r="CH114" s="309" t="s">
        <v>387</v>
      </c>
      <c r="CJ114" s="309" t="s">
        <v>56</v>
      </c>
      <c r="DQ114" s="190"/>
      <c r="DR114" s="190"/>
      <c r="FH114" s="634"/>
      <c r="FI114" s="634"/>
      <c r="FJ114" s="14"/>
      <c r="FK114" s="634"/>
      <c r="FL114" s="634"/>
      <c r="FM114" s="634"/>
      <c r="FN114" s="634"/>
      <c r="FO114" s="634"/>
      <c r="FP114" s="14"/>
      <c r="FQ114" s="634"/>
      <c r="FR114" s="634"/>
      <c r="GC114" s="14"/>
      <c r="GD114" s="728"/>
      <c r="GL114" s="78"/>
      <c r="GM114" s="78"/>
      <c r="GN114" s="71"/>
      <c r="GO114" s="73"/>
      <c r="GR114" s="72"/>
      <c r="GS114" s="72"/>
      <c r="GZ114" s="76" t="s">
        <v>370</v>
      </c>
      <c r="HD114" s="77">
        <f>SUBTOTAL(9,HD115:HD116)</f>
        <v>6045000</v>
      </c>
      <c r="HE114" s="77">
        <f>SUBTOTAL(9,HE115:HE116)</f>
        <v>366</v>
      </c>
      <c r="HG114" s="266">
        <f t="shared" si="276"/>
        <v>16516.39344262295</v>
      </c>
      <c r="HH114" s="266">
        <f>376*HG115</f>
        <v>5925458.1939799329</v>
      </c>
    </row>
    <row r="115" spans="1:228">
      <c r="O115" s="154"/>
      <c r="P115" s="154" t="e">
        <f>SUMPRODUCT((Ville=A197)*($GZ$4:$GZ$103))</f>
        <v>#N/A</v>
      </c>
      <c r="R115" s="157"/>
      <c r="AC115" s="153"/>
      <c r="AD115" s="32"/>
      <c r="AR115" s="14"/>
      <c r="AS115" s="14"/>
      <c r="BG115" s="191"/>
      <c r="BH115" s="191"/>
      <c r="BI115" s="191"/>
      <c r="BJ115" s="191"/>
      <c r="BK115" s="191"/>
      <c r="BL115" s="191"/>
      <c r="BM115" s="191"/>
      <c r="BN115" s="191"/>
      <c r="BO115" s="191"/>
      <c r="BT115" s="190"/>
      <c r="CH115" s="309" t="s">
        <v>169</v>
      </c>
      <c r="CJ115" s="14" t="s">
        <v>396</v>
      </c>
      <c r="CK115" s="14" t="s">
        <v>133</v>
      </c>
      <c r="DQ115" s="190"/>
      <c r="DR115" s="190"/>
      <c r="FH115" s="634"/>
      <c r="FI115" s="634"/>
      <c r="FJ115" s="14"/>
      <c r="FK115" s="634"/>
      <c r="FL115" s="634"/>
      <c r="FM115" s="634"/>
      <c r="FN115" s="634"/>
      <c r="FO115" s="634"/>
      <c r="FP115" s="14"/>
      <c r="FQ115" s="634"/>
      <c r="FR115" s="634"/>
      <c r="GC115" s="14"/>
      <c r="GD115" s="728"/>
      <c r="GJ115" s="154"/>
      <c r="GK115" s="154"/>
      <c r="GL115" s="33"/>
      <c r="GM115" s="33"/>
      <c r="GN115" s="33"/>
      <c r="GZ115" s="14" t="s">
        <v>371</v>
      </c>
      <c r="HD115" s="155">
        <v>4712000</v>
      </c>
      <c r="HE115" s="14">
        <v>299</v>
      </c>
      <c r="HG115" s="267">
        <f t="shared" si="276"/>
        <v>15759.197324414716</v>
      </c>
      <c r="HH115" s="14"/>
    </row>
    <row r="116" spans="1:228">
      <c r="E116" s="14" t="s">
        <v>180</v>
      </c>
      <c r="O116" s="154"/>
      <c r="P116" s="154" t="e">
        <f>SUMPRODUCT((Ville=A198)*($GZ$4:$GZ$103))</f>
        <v>#N/A</v>
      </c>
      <c r="AC116" s="153"/>
      <c r="AD116" s="32"/>
      <c r="AR116" s="14"/>
      <c r="AS116" s="14"/>
      <c r="BG116" s="191"/>
      <c r="BH116" s="191"/>
      <c r="BI116" s="191"/>
      <c r="BJ116" s="191"/>
      <c r="BK116" s="191"/>
      <c r="BL116" s="191"/>
      <c r="BM116" s="191"/>
      <c r="BN116" s="191"/>
      <c r="BO116" s="191"/>
      <c r="BT116" s="190"/>
      <c r="CH116" s="243" t="s">
        <v>388</v>
      </c>
      <c r="CI116" s="243" t="s">
        <v>133</v>
      </c>
      <c r="CJ116" s="14" t="s">
        <v>262</v>
      </c>
      <c r="CK116" s="14" t="s">
        <v>133</v>
      </c>
      <c r="DQ116" s="190"/>
      <c r="DR116" s="190"/>
      <c r="FH116" s="634"/>
      <c r="FI116" s="634"/>
      <c r="FJ116" s="14"/>
      <c r="FK116" s="634"/>
      <c r="FL116" s="634"/>
      <c r="FM116" s="634"/>
      <c r="FN116" s="634"/>
      <c r="FO116" s="634"/>
      <c r="FP116" s="14"/>
      <c r="FQ116" s="634"/>
      <c r="FR116" s="634"/>
      <c r="GC116" s="14"/>
      <c r="GD116" s="728"/>
      <c r="GL116" s="33"/>
      <c r="GM116" s="33"/>
      <c r="GN116" s="33"/>
      <c r="GZ116" s="14" t="s">
        <v>372</v>
      </c>
      <c r="HD116" s="155">
        <v>1333000</v>
      </c>
      <c r="HE116" s="14">
        <v>67</v>
      </c>
      <c r="HG116" s="267">
        <f t="shared" si="276"/>
        <v>19895.5223880597</v>
      </c>
      <c r="HH116" s="14"/>
    </row>
    <row r="117" spans="1:228" ht="28.5" customHeight="1">
      <c r="O117" s="154"/>
      <c r="P117" s="154" t="e">
        <f>SUMPRODUCT((Ville=A199)*($GZ$4:$GZ$103))</f>
        <v>#N/A</v>
      </c>
      <c r="AC117" s="153"/>
      <c r="AD117" s="32"/>
      <c r="AR117" s="14"/>
      <c r="AS117" s="14"/>
      <c r="BG117" s="191"/>
      <c r="BH117" s="191"/>
      <c r="BI117" s="191"/>
      <c r="BJ117" s="191"/>
      <c r="BK117" s="191"/>
      <c r="BL117" s="191"/>
      <c r="BM117" s="191"/>
      <c r="BN117" s="191"/>
      <c r="BO117" s="191"/>
      <c r="BT117" s="190"/>
      <c r="CH117" s="243" t="s">
        <v>389</v>
      </c>
      <c r="CI117" s="243" t="s">
        <v>133</v>
      </c>
      <c r="CJ117" s="14" t="s">
        <v>397</v>
      </c>
      <c r="CK117" s="14" t="s">
        <v>133</v>
      </c>
      <c r="DQ117" s="190"/>
      <c r="DR117" s="190"/>
      <c r="FH117" s="634"/>
      <c r="FI117" s="634"/>
      <c r="FJ117" s="14"/>
      <c r="FK117" s="634"/>
      <c r="FL117" s="634"/>
      <c r="FM117" s="634"/>
      <c r="FN117" s="634"/>
      <c r="FO117" s="634"/>
      <c r="FP117" s="14"/>
      <c r="FQ117" s="634"/>
      <c r="FR117" s="634"/>
      <c r="GC117" s="14"/>
      <c r="GD117" s="728"/>
      <c r="GL117" s="154"/>
      <c r="GM117" s="154"/>
      <c r="GN117" s="154"/>
      <c r="GZ117" s="76" t="s">
        <v>522</v>
      </c>
      <c r="HD117" s="77">
        <f>SUBTOTAL(9,HD118:HD119)</f>
        <v>5000000</v>
      </c>
      <c r="HE117" s="33">
        <f>SUBTOTAL(9,HE118:HE119)</f>
        <v>298</v>
      </c>
      <c r="HG117" s="266">
        <f t="shared" si="276"/>
        <v>16778.523489932886</v>
      </c>
      <c r="HH117" s="14"/>
    </row>
    <row r="118" spans="1:228">
      <c r="O118" s="154"/>
      <c r="P118" s="154" t="e">
        <f>SUMPRODUCT((Ville=A200)*($GZ$4:$GZ$103))</f>
        <v>#N/A</v>
      </c>
      <c r="Q118" s="154"/>
      <c r="AC118" s="153"/>
      <c r="AD118" s="32"/>
      <c r="AR118" s="14"/>
      <c r="AS118" s="14"/>
      <c r="BG118" s="191"/>
      <c r="BH118" s="191"/>
      <c r="BI118" s="191"/>
      <c r="BJ118" s="191"/>
      <c r="BK118" s="191"/>
      <c r="BL118" s="191"/>
      <c r="BM118" s="191"/>
      <c r="BN118" s="191"/>
      <c r="BO118" s="191"/>
      <c r="BT118" s="190"/>
      <c r="CH118" s="243" t="s">
        <v>390</v>
      </c>
      <c r="CI118" s="243" t="s">
        <v>133</v>
      </c>
      <c r="CJ118" s="14" t="s">
        <v>398</v>
      </c>
      <c r="CK118" s="14" t="s">
        <v>133</v>
      </c>
      <c r="CR118" s="243"/>
      <c r="CS118" s="243"/>
      <c r="FH118" s="634"/>
      <c r="FI118" s="634"/>
      <c r="FJ118" s="14"/>
      <c r="FK118" s="634"/>
      <c r="FL118" s="634"/>
      <c r="FM118" s="634"/>
      <c r="FN118" s="634"/>
      <c r="FO118" s="634"/>
      <c r="FP118" s="14"/>
      <c r="FQ118" s="634"/>
      <c r="FR118" s="634"/>
      <c r="GM118" s="155"/>
      <c r="GN118" s="155"/>
      <c r="GO118" s="155"/>
      <c r="GZ118" s="14" t="s">
        <v>371</v>
      </c>
      <c r="HD118" s="155">
        <v>5000000</v>
      </c>
      <c r="HE118" s="14">
        <v>298</v>
      </c>
      <c r="HG118" s="267">
        <f t="shared" si="276"/>
        <v>16778.523489932886</v>
      </c>
      <c r="HH118" s="14">
        <v>298</v>
      </c>
    </row>
    <row r="119" spans="1:228">
      <c r="O119" s="154"/>
      <c r="P119" s="154"/>
      <c r="Q119" s="154"/>
      <c r="AC119" s="153"/>
      <c r="AD119" s="32"/>
      <c r="AR119" s="14"/>
      <c r="AS119" s="14"/>
      <c r="BG119" s="191"/>
      <c r="BH119" s="191"/>
      <c r="BI119" s="191"/>
      <c r="BJ119" s="191"/>
      <c r="BK119" s="191"/>
      <c r="BL119" s="191"/>
      <c r="BM119" s="191"/>
      <c r="BN119" s="191"/>
      <c r="BO119" s="191"/>
      <c r="BT119" s="190"/>
      <c r="CH119" s="243" t="s">
        <v>391</v>
      </c>
      <c r="CI119" s="243" t="s">
        <v>133</v>
      </c>
      <c r="CJ119" s="14" t="s">
        <v>399</v>
      </c>
      <c r="FH119" s="634"/>
      <c r="FI119" s="634"/>
      <c r="FJ119" s="14"/>
      <c r="FK119" s="634"/>
      <c r="FL119" s="634"/>
      <c r="FM119" s="634"/>
      <c r="FN119" s="634"/>
      <c r="FO119" s="634"/>
      <c r="FP119" s="14"/>
      <c r="FQ119" s="634"/>
      <c r="FR119" s="634"/>
      <c r="GZ119" s="14" t="s">
        <v>372</v>
      </c>
      <c r="HD119" s="14"/>
      <c r="HE119" s="14"/>
      <c r="HG119" s="14"/>
      <c r="HH119" s="14"/>
    </row>
    <row r="120" spans="1:228">
      <c r="O120" s="154"/>
      <c r="P120" s="154"/>
      <c r="Q120" s="154"/>
      <c r="AC120" s="153"/>
      <c r="AD120" s="32"/>
      <c r="AR120" s="14"/>
      <c r="AS120" s="14"/>
      <c r="BG120" s="191"/>
      <c r="BH120" s="191"/>
      <c r="BI120" s="191"/>
      <c r="BJ120" s="191"/>
      <c r="BK120" s="191"/>
      <c r="BL120" s="191"/>
      <c r="BM120" s="191"/>
      <c r="BN120" s="191"/>
      <c r="BO120" s="191"/>
      <c r="BT120" s="190"/>
      <c r="CH120" s="243" t="s">
        <v>392</v>
      </c>
      <c r="CJ120" s="309" t="s">
        <v>400</v>
      </c>
      <c r="FH120" s="634"/>
      <c r="FI120" s="634"/>
      <c r="FJ120" s="14"/>
      <c r="FK120" s="634"/>
      <c r="FL120" s="634"/>
      <c r="FM120" s="634"/>
      <c r="FN120" s="634"/>
      <c r="FO120" s="634"/>
      <c r="FP120" s="14"/>
      <c r="FQ120" s="634"/>
      <c r="FR120" s="634"/>
      <c r="GZ120" s="328" t="s">
        <v>575</v>
      </c>
      <c r="HA120" s="14"/>
      <c r="HB120" s="14"/>
      <c r="HC120" s="14"/>
      <c r="HD120" s="328"/>
      <c r="HE120" s="14"/>
      <c r="HG120" s="14"/>
      <c r="HH120" s="14"/>
    </row>
    <row r="121" spans="1:228" ht="15.75" thickBot="1">
      <c r="O121" s="154"/>
      <c r="P121" s="154" t="e">
        <f>SUMPRODUCT((Ville=A201)*($GZ$4:$GZ$103))</f>
        <v>#N/A</v>
      </c>
      <c r="Q121" s="154"/>
      <c r="AC121" s="153"/>
      <c r="AD121" s="32"/>
      <c r="AR121" s="14"/>
      <c r="AS121" s="14"/>
      <c r="BG121" s="191"/>
      <c r="BH121" s="191"/>
      <c r="BI121" s="191"/>
      <c r="BJ121" s="191"/>
      <c r="BK121" s="191"/>
      <c r="BL121" s="191"/>
      <c r="BM121" s="191"/>
      <c r="BN121" s="191"/>
      <c r="BO121" s="191"/>
      <c r="BT121" s="190"/>
      <c r="BV121" s="237"/>
      <c r="BW121" s="237"/>
      <c r="CH121" s="243" t="s">
        <v>393</v>
      </c>
      <c r="CJ121" s="14" t="s">
        <v>50</v>
      </c>
      <c r="CK121" s="14" t="s">
        <v>133</v>
      </c>
      <c r="FH121" s="634"/>
      <c r="FI121" s="634"/>
      <c r="FJ121" s="14"/>
      <c r="FK121" s="634"/>
      <c r="FL121" s="634"/>
      <c r="FM121" s="634"/>
      <c r="FN121" s="634"/>
      <c r="FO121" s="634"/>
      <c r="FP121" s="14"/>
      <c r="FQ121" s="634"/>
      <c r="FR121" s="634"/>
      <c r="GZ121" s="14" t="s">
        <v>371</v>
      </c>
      <c r="HA121" s="14"/>
      <c r="HB121" s="14"/>
      <c r="HC121" s="14"/>
      <c r="HD121" s="320"/>
      <c r="HE121" s="14"/>
      <c r="HG121" s="14"/>
      <c r="HH121" s="14" t="s">
        <v>597</v>
      </c>
      <c r="HM121" s="14" t="s">
        <v>598</v>
      </c>
    </row>
    <row r="122" spans="1:228" ht="15.75" thickBot="1">
      <c r="B122" s="283"/>
      <c r="C122" s="396" t="s">
        <v>190</v>
      </c>
      <c r="D122" s="396" t="s">
        <v>297</v>
      </c>
      <c r="E122" s="396" t="s">
        <v>739</v>
      </c>
      <c r="F122" s="397" t="s">
        <v>461</v>
      </c>
      <c r="G122" s="397" t="s">
        <v>189</v>
      </c>
      <c r="H122" s="397" t="s">
        <v>697</v>
      </c>
      <c r="I122" s="397" t="s">
        <v>188</v>
      </c>
      <c r="J122" s="397" t="s">
        <v>519</v>
      </c>
      <c r="O122" s="154"/>
      <c r="P122" s="154" t="e">
        <f>SUMPRODUCT((Ville=A202)*($GZ$4:$GZ$103))</f>
        <v>#N/A</v>
      </c>
      <c r="Q122" s="154"/>
      <c r="AC122" s="153"/>
      <c r="AD122" s="32"/>
      <c r="AR122" s="14"/>
      <c r="AS122" s="14"/>
      <c r="BG122" s="191"/>
      <c r="BH122" s="191"/>
      <c r="BI122" s="191"/>
      <c r="BJ122" s="191"/>
      <c r="BK122" s="191"/>
      <c r="BL122" s="191"/>
      <c r="BM122" s="191"/>
      <c r="BN122" s="191"/>
      <c r="BO122" s="191"/>
      <c r="BT122" s="190"/>
      <c r="CH122" s="243" t="s">
        <v>394</v>
      </c>
      <c r="CI122" s="243" t="s">
        <v>133</v>
      </c>
      <c r="CJ122" s="14" t="s">
        <v>52</v>
      </c>
      <c r="FH122" s="634"/>
      <c r="FI122" s="634"/>
      <c r="FJ122" s="14"/>
      <c r="FK122" s="634"/>
      <c r="FL122" s="634"/>
      <c r="FM122" s="634"/>
      <c r="FN122" s="634"/>
      <c r="FO122" s="634"/>
      <c r="FP122" s="14"/>
      <c r="FQ122" s="634"/>
      <c r="FR122" s="634"/>
      <c r="GQ122" s="140"/>
      <c r="GR122" s="140"/>
      <c r="GS122" s="140"/>
      <c r="GT122" s="140"/>
      <c r="GU122" s="46"/>
      <c r="GV122" s="46"/>
      <c r="GW122" s="46"/>
      <c r="GX122" s="14" t="s">
        <v>576</v>
      </c>
      <c r="GY122" s="140"/>
      <c r="GZ122" s="14">
        <f>SUMPRODUCT((Prog=2017)*(Type&lt;&gt;"Rehab")*(Type&lt;&gt;"PLS")*(Nlgts))</f>
        <v>241</v>
      </c>
      <c r="HA122" s="140"/>
      <c r="HB122" s="140"/>
      <c r="HC122" s="140"/>
      <c r="HD122" s="155">
        <f>SUMPRODUCT((Prog=2017)*(Type&lt;&gt;"Rehab")*(Type&lt;&gt;"PLS")*(LBU))</f>
        <v>4876000</v>
      </c>
      <c r="HE122" s="140"/>
      <c r="HG122" s="267">
        <f>HD122/GZ122</f>
        <v>20232.365145228217</v>
      </c>
      <c r="HH122" s="155">
        <f>HD122-GZ59-GZ60-GZ67-GZ62</f>
        <v>1720000</v>
      </c>
      <c r="HI122" s="140"/>
      <c r="HJ122" s="140"/>
      <c r="HK122" s="140"/>
      <c r="HM122" s="14" t="s">
        <v>596</v>
      </c>
    </row>
    <row r="123" spans="1:228">
      <c r="B123" s="395" t="s">
        <v>424</v>
      </c>
      <c r="C123" s="402">
        <f>SUMPRODUCT((RO="ADE")*(Ass=$C$122)*(Avancement&lt;&gt;"Patrimoine"))-1</f>
        <v>0</v>
      </c>
      <c r="D123" s="402">
        <f t="shared" ref="D123:D134" si="277">SUMPRODUCT((RO=B123)*(Ass=$D$122)*(Avancement&lt;&gt;"patrimoine"))</f>
        <v>2</v>
      </c>
      <c r="E123" s="402">
        <f t="shared" ref="E123:E134" si="278">SUMPRODUCT((RO=B123)*(Ass=$E$122)*(Avancement&lt;&gt;"patrimoine"))</f>
        <v>1</v>
      </c>
      <c r="F123" s="402">
        <f t="shared" ref="F123:F134" si="279">SUMPRODUCT((RO=B123)*(Ass=$F$122)*(Avancement&lt;&gt;"patrimoine"))</f>
        <v>0</v>
      </c>
      <c r="G123" s="403">
        <f t="shared" ref="G123:G134" si="280">SUMPRODUCT((RO=B123)*(Ass=$G$122)*(Avancement&lt;&gt;"patrimoine"))</f>
        <v>0</v>
      </c>
      <c r="H123" s="402">
        <f t="shared" ref="H123:H134" si="281">SUMPRODUCT((RO=B123)*(Ass=$H$122)*(Avancement&lt;&gt;"patrimoine"))</f>
        <v>1</v>
      </c>
      <c r="I123" s="402">
        <f t="shared" ref="I123:I134" si="282">SUMPRODUCT((RO=B123)*(Ass=$I$122)*(Avancement&lt;&gt;"patrimoine"))</f>
        <v>0</v>
      </c>
      <c r="J123" s="402">
        <f t="shared" ref="J123:J134" si="283">SUMPRODUCT((RO=B123)*(Ass=$J$122)*(Avancement&lt;&gt;"patrimoine"))</f>
        <v>1</v>
      </c>
      <c r="O123" s="154"/>
      <c r="P123" s="154" t="e">
        <f>SUMPRODUCT((Ville=A203)*($GZ$4:$GZ$103))</f>
        <v>#N/A</v>
      </c>
      <c r="Q123" s="154"/>
      <c r="AC123" s="153"/>
      <c r="AD123" s="32"/>
      <c r="AR123" s="14"/>
      <c r="AS123" s="14"/>
      <c r="BG123" s="191"/>
      <c r="BH123" s="191"/>
      <c r="BI123" s="191"/>
      <c r="BJ123" s="191"/>
      <c r="BK123" s="191"/>
      <c r="BL123" s="191"/>
      <c r="BM123" s="191"/>
      <c r="BN123" s="191"/>
      <c r="BO123" s="191"/>
      <c r="BT123" s="190"/>
      <c r="CH123" s="243" t="s">
        <v>395</v>
      </c>
      <c r="CJ123" s="14" t="s">
        <v>471</v>
      </c>
      <c r="CK123" s="14" t="s">
        <v>133</v>
      </c>
      <c r="FH123" s="634"/>
      <c r="FI123" s="634"/>
      <c r="FJ123" s="14"/>
      <c r="FK123" s="634"/>
      <c r="FL123" s="634"/>
      <c r="FM123" s="634"/>
      <c r="FN123" s="634"/>
      <c r="FO123" s="634"/>
      <c r="FP123" s="14"/>
      <c r="FQ123" s="634"/>
      <c r="FR123" s="634"/>
      <c r="GQ123" s="159"/>
      <c r="GR123" s="160"/>
      <c r="GS123" s="160"/>
      <c r="GT123" s="160"/>
      <c r="GX123" s="140" t="s">
        <v>487</v>
      </c>
      <c r="GY123" s="140"/>
      <c r="GZ123" s="14">
        <f>SUMPRODUCT((Prog=2017)*(Type="Rehab")*(Nlgts))</f>
        <v>192</v>
      </c>
      <c r="HA123" s="140"/>
      <c r="HB123" s="140"/>
      <c r="HC123" s="140"/>
      <c r="HD123" s="155">
        <f>SUMPRODUCT((Prog=2017)*(Type="Rehab")*(LBU))</f>
        <v>0</v>
      </c>
      <c r="HE123" s="140"/>
      <c r="HG123" s="267">
        <f>HD123/GZ123</f>
        <v>0</v>
      </c>
      <c r="HH123" s="14"/>
      <c r="HI123" s="140"/>
      <c r="HJ123" s="140"/>
      <c r="HK123" s="140"/>
    </row>
    <row r="124" spans="1:228">
      <c r="B124" s="400" t="s">
        <v>151</v>
      </c>
      <c r="C124" s="403">
        <f t="shared" ref="C124:C134" si="284">SUMPRODUCT((RO=B124)*(Ass=$C$122)*(Avancement&lt;&gt;"patrimoine"))</f>
        <v>0</v>
      </c>
      <c r="D124" s="403">
        <f t="shared" si="277"/>
        <v>0</v>
      </c>
      <c r="E124" s="403">
        <f t="shared" si="278"/>
        <v>0</v>
      </c>
      <c r="F124" s="403">
        <f t="shared" si="279"/>
        <v>0</v>
      </c>
      <c r="G124" s="403">
        <f t="shared" si="280"/>
        <v>0</v>
      </c>
      <c r="H124" s="403">
        <f t="shared" si="281"/>
        <v>0</v>
      </c>
      <c r="I124" s="403">
        <f t="shared" si="282"/>
        <v>0</v>
      </c>
      <c r="J124" s="403">
        <f t="shared" si="283"/>
        <v>0</v>
      </c>
      <c r="O124" s="154"/>
      <c r="P124" s="154" t="e">
        <f>SUMPRODUCT((Ville=A204)*($GZ$4:$GZ$103))</f>
        <v>#N/A</v>
      </c>
      <c r="Q124" s="154"/>
      <c r="AC124" s="153"/>
      <c r="AD124" s="32"/>
      <c r="AR124" s="14"/>
      <c r="AS124" s="14"/>
      <c r="BG124" s="191"/>
      <c r="BH124" s="191"/>
      <c r="BI124" s="191"/>
      <c r="BJ124" s="191"/>
      <c r="BK124" s="191"/>
      <c r="BL124" s="191"/>
      <c r="BM124" s="191"/>
      <c r="BN124" s="191"/>
      <c r="BO124" s="191"/>
      <c r="BT124" s="190"/>
      <c r="CH124" s="439" t="s">
        <v>656</v>
      </c>
      <c r="CI124" s="438"/>
      <c r="CJ124" s="441" t="s">
        <v>657</v>
      </c>
      <c r="CK124" s="441"/>
      <c r="FH124" s="634"/>
      <c r="FI124" s="634"/>
      <c r="FJ124" s="14"/>
      <c r="FK124" s="634"/>
      <c r="FL124" s="634"/>
      <c r="FM124" s="634"/>
      <c r="FN124" s="634"/>
      <c r="FO124" s="634"/>
      <c r="FP124" s="14"/>
      <c r="FQ124" s="634"/>
      <c r="FR124" s="634"/>
      <c r="GQ124" s="159"/>
      <c r="GR124" s="160"/>
      <c r="GS124" s="160"/>
      <c r="GT124" s="160"/>
      <c r="GX124" s="140"/>
      <c r="GY124" s="140"/>
      <c r="HA124" s="140"/>
      <c r="HB124" s="140"/>
      <c r="HC124" s="140"/>
      <c r="HD124" s="155"/>
      <c r="HE124" s="140"/>
      <c r="HG124" s="267"/>
      <c r="HH124" s="14"/>
      <c r="HI124" s="140"/>
      <c r="HJ124" s="140"/>
      <c r="HK124" s="140"/>
    </row>
    <row r="125" spans="1:228" ht="30">
      <c r="B125" s="400" t="s">
        <v>340</v>
      </c>
      <c r="C125" s="403">
        <f t="shared" si="284"/>
        <v>2</v>
      </c>
      <c r="D125" s="403">
        <f t="shared" si="277"/>
        <v>0</v>
      </c>
      <c r="E125" s="403">
        <f t="shared" si="278"/>
        <v>0</v>
      </c>
      <c r="F125" s="403">
        <f t="shared" si="279"/>
        <v>0</v>
      </c>
      <c r="G125" s="403">
        <f t="shared" si="280"/>
        <v>0</v>
      </c>
      <c r="H125" s="403">
        <f t="shared" si="281"/>
        <v>0</v>
      </c>
      <c r="I125" s="403">
        <f t="shared" si="282"/>
        <v>2</v>
      </c>
      <c r="J125" s="403">
        <f t="shared" si="283"/>
        <v>2</v>
      </c>
      <c r="O125" s="154"/>
      <c r="P125" s="154" t="e">
        <f>SUMPRODUCT((Ville=A205)*($GZ$4:$GZ$103))</f>
        <v>#N/A</v>
      </c>
      <c r="Q125" s="154"/>
      <c r="AC125" s="153"/>
      <c r="AD125" s="32"/>
      <c r="AR125" s="14"/>
      <c r="AS125" s="14"/>
      <c r="BG125" s="191"/>
      <c r="BH125" s="191"/>
      <c r="BI125" s="191"/>
      <c r="BJ125" s="191"/>
      <c r="BK125" s="191"/>
      <c r="BL125" s="191"/>
      <c r="BM125" s="191"/>
      <c r="BN125" s="191"/>
      <c r="BO125" s="191"/>
      <c r="BT125" s="190"/>
      <c r="CH125" s="440" t="s">
        <v>472</v>
      </c>
      <c r="CI125" s="243" t="s">
        <v>133</v>
      </c>
      <c r="FH125" s="634"/>
      <c r="FI125" s="634"/>
      <c r="FJ125" s="14"/>
      <c r="FK125" s="634"/>
      <c r="FL125" s="634"/>
      <c r="FM125" s="634"/>
      <c r="FN125" s="634"/>
      <c r="FO125" s="634"/>
      <c r="FP125" s="14"/>
      <c r="FQ125" s="634"/>
      <c r="FR125" s="634"/>
      <c r="GQ125" s="161"/>
      <c r="GR125" s="160"/>
      <c r="GS125" s="160"/>
      <c r="GT125" s="160"/>
      <c r="GU125" s="140"/>
      <c r="GV125" s="140"/>
      <c r="GW125" s="140"/>
      <c r="GX125" s="140" t="s">
        <v>480</v>
      </c>
      <c r="GY125" s="140"/>
      <c r="GZ125" s="14">
        <f>SUMPRODUCT((Prog=2017)*(Type="PLS")*(Nlgts))</f>
        <v>300</v>
      </c>
      <c r="HA125" s="140"/>
      <c r="HB125" s="140"/>
      <c r="HC125" s="140"/>
      <c r="HD125" s="155"/>
      <c r="HE125" s="140"/>
      <c r="HG125" s="267">
        <f>HD125/GZ125</f>
        <v>0</v>
      </c>
      <c r="HH125" s="14"/>
      <c r="HI125" s="140"/>
      <c r="HJ125" s="140"/>
      <c r="HK125" s="140"/>
    </row>
    <row r="126" spans="1:228">
      <c r="B126" s="400" t="s">
        <v>37</v>
      </c>
      <c r="C126" s="403">
        <f t="shared" si="284"/>
        <v>0</v>
      </c>
      <c r="D126" s="403">
        <f t="shared" si="277"/>
        <v>0</v>
      </c>
      <c r="E126" s="403">
        <f t="shared" si="278"/>
        <v>0</v>
      </c>
      <c r="F126" s="403">
        <f t="shared" si="279"/>
        <v>0</v>
      </c>
      <c r="G126" s="403">
        <f t="shared" si="280"/>
        <v>0</v>
      </c>
      <c r="H126" s="403">
        <f t="shared" si="281"/>
        <v>0</v>
      </c>
      <c r="I126" s="403">
        <f t="shared" si="282"/>
        <v>0</v>
      </c>
      <c r="J126" s="403">
        <f t="shared" si="283"/>
        <v>0</v>
      </c>
      <c r="O126" s="154"/>
      <c r="P126" s="154"/>
      <c r="Q126" s="154"/>
      <c r="AC126" s="153"/>
      <c r="AD126" s="32"/>
      <c r="AR126" s="14"/>
      <c r="AS126" s="14"/>
      <c r="BG126" s="191"/>
      <c r="BH126" s="191"/>
      <c r="BI126" s="191"/>
      <c r="BJ126" s="191"/>
      <c r="BK126" s="191"/>
      <c r="BL126" s="191"/>
      <c r="BM126" s="191"/>
      <c r="BN126" s="191"/>
      <c r="BO126" s="191"/>
      <c r="BT126" s="190"/>
      <c r="FH126" s="634"/>
      <c r="FI126" s="634"/>
      <c r="FJ126" s="14"/>
      <c r="FK126" s="634"/>
      <c r="FL126" s="634"/>
      <c r="FM126" s="634"/>
      <c r="FN126" s="634"/>
      <c r="FO126" s="634"/>
      <c r="FP126" s="14"/>
      <c r="FQ126" s="634"/>
      <c r="FR126" s="634"/>
      <c r="GQ126" s="161"/>
      <c r="GR126" s="160"/>
      <c r="GS126" s="160"/>
      <c r="GT126" s="160"/>
      <c r="GU126" s="140"/>
      <c r="GV126" s="140"/>
      <c r="GW126" s="140"/>
      <c r="GX126" s="33" t="s">
        <v>120</v>
      </c>
      <c r="GY126" s="140"/>
      <c r="GZ126" s="266">
        <f>SUBTOTAL(9,GZ122:GZ125)</f>
        <v>733</v>
      </c>
      <c r="HA126" s="140"/>
      <c r="HB126" s="140"/>
      <c r="HC126" s="140"/>
      <c r="HD126" s="320">
        <f>SUBTOTAL(9,HD122:HD125)</f>
        <v>4876000</v>
      </c>
      <c r="HE126" s="140"/>
      <c r="HG126" s="266">
        <f>HD126/GZ126</f>
        <v>6652.1145975443387</v>
      </c>
      <c r="HH126" s="14"/>
      <c r="HI126" s="140"/>
      <c r="HJ126" s="140"/>
      <c r="HK126" s="140"/>
    </row>
    <row r="127" spans="1:228">
      <c r="B127" s="400" t="s">
        <v>30</v>
      </c>
      <c r="C127" s="403">
        <f t="shared" si="284"/>
        <v>0</v>
      </c>
      <c r="D127" s="403">
        <f t="shared" si="277"/>
        <v>1</v>
      </c>
      <c r="E127" s="403">
        <f t="shared" si="278"/>
        <v>1</v>
      </c>
      <c r="F127" s="403">
        <f t="shared" si="279"/>
        <v>0</v>
      </c>
      <c r="G127" s="403">
        <f t="shared" si="280"/>
        <v>0</v>
      </c>
      <c r="H127" s="403">
        <f t="shared" si="281"/>
        <v>0</v>
      </c>
      <c r="I127" s="403">
        <f t="shared" si="282"/>
        <v>1</v>
      </c>
      <c r="J127" s="403">
        <f t="shared" si="283"/>
        <v>3</v>
      </c>
      <c r="O127" s="154"/>
      <c r="P127" s="154" t="e">
        <f>SUMPRODUCT((Ville=A206)*($GZ$4:$GZ$103))</f>
        <v>#N/A</v>
      </c>
      <c r="Q127" s="154"/>
      <c r="AC127" s="153"/>
      <c r="AD127" s="32"/>
      <c r="AX127" s="35"/>
      <c r="CD127" s="35"/>
      <c r="CE127" s="35"/>
      <c r="CF127" s="35"/>
      <c r="CG127" s="35"/>
      <c r="CH127" s="244"/>
      <c r="CI127" s="244"/>
      <c r="CJ127" s="35"/>
      <c r="CK127" s="35"/>
      <c r="CL127" s="35"/>
      <c r="CM127" s="35"/>
      <c r="CN127" s="35"/>
      <c r="CO127" s="35"/>
      <c r="CP127" s="35"/>
      <c r="CQ127" s="35"/>
      <c r="CR127" s="35"/>
      <c r="CS127" s="35"/>
      <c r="CT127" s="35"/>
      <c r="CU127" s="35"/>
      <c r="CV127" s="35"/>
      <c r="CW127" s="35"/>
      <c r="CX127" s="367"/>
      <c r="CY127" s="35"/>
      <c r="CZ127" s="35"/>
      <c r="DA127" s="35"/>
      <c r="DB127" s="35"/>
      <c r="DC127" s="35"/>
      <c r="DD127" s="35"/>
      <c r="DE127" s="35"/>
      <c r="DF127" s="35"/>
      <c r="DG127" s="35"/>
      <c r="DH127" s="35"/>
      <c r="DI127" s="35"/>
      <c r="DJ127" s="35"/>
      <c r="DK127" s="35"/>
      <c r="DL127" s="35"/>
      <c r="DM127" s="35"/>
      <c r="DN127" s="35"/>
      <c r="DO127" s="35"/>
      <c r="DP127" s="35"/>
      <c r="DQ127" s="35"/>
      <c r="DR127" s="35"/>
      <c r="FH127" s="634"/>
      <c r="FI127" s="634"/>
      <c r="FJ127" s="14"/>
      <c r="FK127" s="634"/>
      <c r="FL127" s="634"/>
      <c r="FM127" s="634"/>
      <c r="FN127" s="634"/>
      <c r="FO127" s="634"/>
      <c r="FP127" s="14"/>
      <c r="FQ127" s="634"/>
      <c r="FR127" s="634"/>
      <c r="HA127" s="14"/>
      <c r="HB127" s="14"/>
      <c r="HC127" s="14"/>
      <c r="HD127" s="14"/>
      <c r="HE127" s="161"/>
      <c r="HF127" s="160"/>
      <c r="HG127" s="160"/>
      <c r="HH127" s="160"/>
      <c r="HI127" s="140"/>
      <c r="HJ127" s="140"/>
      <c r="HK127" s="140"/>
      <c r="HL127" s="140"/>
      <c r="HM127" s="140"/>
      <c r="HN127" s="140"/>
      <c r="HO127" s="140"/>
      <c r="HP127" s="140"/>
      <c r="HQ127" s="140"/>
      <c r="HR127" s="140"/>
      <c r="HS127" s="140"/>
      <c r="HT127" s="140"/>
    </row>
    <row r="128" spans="1:228">
      <c r="B128" s="400" t="s">
        <v>565</v>
      </c>
      <c r="C128" s="403">
        <f t="shared" si="284"/>
        <v>1</v>
      </c>
      <c r="D128" s="403">
        <f t="shared" si="277"/>
        <v>2</v>
      </c>
      <c r="E128" s="403">
        <f t="shared" si="278"/>
        <v>0</v>
      </c>
      <c r="F128" s="403">
        <f t="shared" si="279"/>
        <v>0</v>
      </c>
      <c r="G128" s="403">
        <f t="shared" si="280"/>
        <v>0</v>
      </c>
      <c r="H128" s="403">
        <f t="shared" si="281"/>
        <v>1</v>
      </c>
      <c r="I128" s="403">
        <f t="shared" si="282"/>
        <v>0</v>
      </c>
      <c r="J128" s="403">
        <f t="shared" si="283"/>
        <v>1</v>
      </c>
      <c r="O128" s="34"/>
      <c r="P128" s="34" t="e">
        <f>SUM(P115:P127)</f>
        <v>#N/A</v>
      </c>
      <c r="Q128" s="34"/>
      <c r="AC128" s="153"/>
      <c r="AD128" s="32"/>
      <c r="FH128" s="634"/>
      <c r="FI128" s="634"/>
      <c r="FJ128" s="14"/>
      <c r="FK128" s="634"/>
      <c r="FL128" s="634"/>
      <c r="FM128" s="634"/>
      <c r="FN128" s="634"/>
      <c r="FO128" s="634"/>
      <c r="FP128" s="14"/>
      <c r="FQ128" s="634"/>
      <c r="FR128" s="634"/>
      <c r="HA128" s="14"/>
      <c r="HB128" s="14"/>
      <c r="HC128" s="14"/>
      <c r="HD128" s="14"/>
      <c r="HE128" s="161"/>
      <c r="HF128" s="160"/>
      <c r="HG128" s="160"/>
      <c r="HH128" s="160"/>
      <c r="HI128" s="140"/>
      <c r="HJ128" s="140"/>
      <c r="HK128" s="140"/>
      <c r="HL128" s="140"/>
      <c r="HM128" s="140"/>
      <c r="HN128" s="140"/>
      <c r="HO128" s="140"/>
      <c r="HP128" s="140"/>
      <c r="HQ128" s="140"/>
      <c r="HR128" s="140"/>
      <c r="HS128" s="140"/>
      <c r="HT128" s="140"/>
    </row>
    <row r="129" spans="2:228">
      <c r="B129" s="400" t="s">
        <v>423</v>
      </c>
      <c r="C129" s="403">
        <f t="shared" si="284"/>
        <v>2</v>
      </c>
      <c r="D129" s="403">
        <f t="shared" si="277"/>
        <v>0</v>
      </c>
      <c r="E129" s="403">
        <f t="shared" si="278"/>
        <v>0</v>
      </c>
      <c r="F129" s="403">
        <f t="shared" si="279"/>
        <v>0</v>
      </c>
      <c r="G129" s="403">
        <f t="shared" si="280"/>
        <v>0</v>
      </c>
      <c r="H129" s="403">
        <f t="shared" si="281"/>
        <v>4</v>
      </c>
      <c r="I129" s="403">
        <f t="shared" si="282"/>
        <v>0</v>
      </c>
      <c r="J129" s="403">
        <f t="shared" si="283"/>
        <v>1</v>
      </c>
      <c r="FH129" s="634"/>
      <c r="FI129" s="634"/>
      <c r="FJ129" s="14"/>
      <c r="FK129" s="634"/>
      <c r="FL129" s="634"/>
      <c r="FM129" s="634"/>
      <c r="FN129" s="634"/>
      <c r="FO129" s="634"/>
      <c r="FP129" s="14"/>
      <c r="FQ129" s="634"/>
      <c r="FR129" s="634"/>
      <c r="HA129" s="14"/>
      <c r="HB129" s="14"/>
      <c r="HC129" s="14"/>
      <c r="HD129" s="14"/>
      <c r="HE129" s="161"/>
      <c r="HF129" s="160"/>
      <c r="HG129" s="160"/>
      <c r="HH129" s="160"/>
      <c r="HI129" s="140"/>
      <c r="HJ129" s="140"/>
      <c r="HK129" s="140"/>
      <c r="HL129" s="140"/>
      <c r="HM129" s="140"/>
      <c r="HN129" s="140"/>
      <c r="HO129" s="140"/>
      <c r="HP129" s="140"/>
      <c r="HQ129" s="140"/>
      <c r="HR129" s="140"/>
      <c r="HS129" s="140"/>
      <c r="HT129" s="140"/>
    </row>
    <row r="130" spans="2:228">
      <c r="B130" s="400" t="s">
        <v>419</v>
      </c>
      <c r="C130" s="403">
        <f t="shared" si="284"/>
        <v>3</v>
      </c>
      <c r="D130" s="403">
        <f t="shared" si="277"/>
        <v>1</v>
      </c>
      <c r="E130" s="403">
        <f t="shared" si="278"/>
        <v>0</v>
      </c>
      <c r="F130" s="403">
        <f t="shared" si="279"/>
        <v>0</v>
      </c>
      <c r="G130" s="403">
        <f t="shared" si="280"/>
        <v>0</v>
      </c>
      <c r="H130" s="403">
        <f t="shared" si="281"/>
        <v>1</v>
      </c>
      <c r="I130" s="403">
        <f t="shared" si="282"/>
        <v>0</v>
      </c>
      <c r="J130" s="403">
        <f t="shared" si="283"/>
        <v>1</v>
      </c>
      <c r="FH130" s="634"/>
      <c r="FI130" s="634"/>
      <c r="FJ130" s="14"/>
      <c r="FK130" s="634"/>
      <c r="FL130" s="634"/>
      <c r="FM130" s="634"/>
      <c r="FN130" s="634"/>
      <c r="FO130" s="634"/>
      <c r="FP130" s="14"/>
      <c r="FQ130" s="634"/>
      <c r="FR130" s="634"/>
      <c r="HA130" s="14"/>
      <c r="HB130" s="14"/>
      <c r="HC130" s="14"/>
      <c r="HD130" s="14"/>
      <c r="HE130" s="161"/>
      <c r="HF130" s="160"/>
      <c r="HG130" s="160"/>
      <c r="HH130" s="160"/>
      <c r="HI130" s="140"/>
      <c r="HJ130" s="140"/>
      <c r="HK130" s="140"/>
      <c r="HL130" s="140"/>
      <c r="HM130" s="140"/>
      <c r="HN130" s="140"/>
      <c r="HO130" s="140"/>
      <c r="HP130" s="140"/>
      <c r="HQ130" s="140"/>
      <c r="HR130" s="140"/>
      <c r="HS130" s="140"/>
      <c r="HT130" s="140"/>
    </row>
    <row r="131" spans="2:228">
      <c r="B131" s="400" t="s">
        <v>94</v>
      </c>
      <c r="C131" s="403">
        <f t="shared" si="284"/>
        <v>0</v>
      </c>
      <c r="D131" s="403">
        <f t="shared" si="277"/>
        <v>0</v>
      </c>
      <c r="E131" s="403">
        <f t="shared" si="278"/>
        <v>0</v>
      </c>
      <c r="F131" s="403">
        <f t="shared" si="279"/>
        <v>0</v>
      </c>
      <c r="G131" s="403">
        <f t="shared" si="280"/>
        <v>0</v>
      </c>
      <c r="H131" s="403">
        <f t="shared" si="281"/>
        <v>0</v>
      </c>
      <c r="I131" s="403">
        <f t="shared" si="282"/>
        <v>0</v>
      </c>
      <c r="J131" s="403">
        <f t="shared" si="283"/>
        <v>0</v>
      </c>
      <c r="AQ131" s="153"/>
      <c r="AR131" s="32"/>
      <c r="AS131" s="14"/>
      <c r="BS131" s="191"/>
      <c r="BT131" s="190"/>
      <c r="FH131" s="634"/>
      <c r="FI131" s="634"/>
      <c r="FJ131" s="14"/>
      <c r="FK131" s="634"/>
      <c r="FL131" s="634"/>
      <c r="FM131" s="634"/>
      <c r="FN131" s="634"/>
      <c r="FO131" s="634"/>
      <c r="FP131" s="14"/>
      <c r="FQ131" s="634"/>
      <c r="FR131" s="634"/>
      <c r="HA131" s="14"/>
      <c r="HB131" s="14"/>
      <c r="HC131" s="161"/>
      <c r="HD131" s="161"/>
      <c r="HE131" s="160"/>
      <c r="HF131" s="160"/>
      <c r="HG131" s="160"/>
      <c r="HH131" s="140"/>
      <c r="HI131" s="140"/>
      <c r="HJ131" s="140"/>
      <c r="HK131" s="140"/>
      <c r="HL131" s="140"/>
      <c r="HM131" s="140"/>
      <c r="HN131" s="140"/>
      <c r="HO131" s="140"/>
      <c r="HP131" s="140"/>
      <c r="HQ131" s="140"/>
      <c r="HR131" s="140"/>
      <c r="HS131" s="140"/>
      <c r="HT131" s="140"/>
    </row>
    <row r="132" spans="2:228">
      <c r="B132" s="400" t="s">
        <v>10</v>
      </c>
      <c r="C132" s="403">
        <f t="shared" si="284"/>
        <v>0</v>
      </c>
      <c r="D132" s="403">
        <f t="shared" si="277"/>
        <v>0</v>
      </c>
      <c r="E132" s="403">
        <f t="shared" si="278"/>
        <v>0</v>
      </c>
      <c r="F132" s="403">
        <f t="shared" si="279"/>
        <v>0</v>
      </c>
      <c r="G132" s="403">
        <f t="shared" si="280"/>
        <v>0</v>
      </c>
      <c r="H132" s="403">
        <f t="shared" si="281"/>
        <v>0</v>
      </c>
      <c r="I132" s="403">
        <f t="shared" si="282"/>
        <v>0</v>
      </c>
      <c r="J132" s="403">
        <f t="shared" si="283"/>
        <v>0</v>
      </c>
      <c r="AR132" s="14"/>
      <c r="AS132" s="14"/>
      <c r="BD132" s="190">
        <f>196-32</f>
        <v>164</v>
      </c>
      <c r="BE132" s="191"/>
      <c r="BF132" s="191"/>
      <c r="BG132" s="191"/>
      <c r="BT132" s="190"/>
      <c r="FH132" s="634"/>
      <c r="FI132" s="634"/>
      <c r="FJ132" s="14"/>
      <c r="FK132" s="634"/>
      <c r="FL132" s="634"/>
      <c r="FM132" s="634"/>
      <c r="FN132" s="634"/>
      <c r="FO132" s="634"/>
      <c r="FP132" s="14"/>
      <c r="FQ132" s="634"/>
      <c r="FR132" s="634"/>
      <c r="GO132" s="161"/>
      <c r="GP132" s="160"/>
      <c r="GQ132" s="160"/>
      <c r="GR132" s="160"/>
      <c r="GS132" s="140"/>
      <c r="GT132" s="140"/>
      <c r="GU132" s="140"/>
      <c r="GV132" s="140"/>
      <c r="GW132" s="140"/>
      <c r="GX132" s="140"/>
      <c r="GY132" s="140"/>
      <c r="GZ132" s="140"/>
      <c r="HA132" s="140"/>
      <c r="HB132" s="140"/>
      <c r="HC132" s="140"/>
      <c r="HD132" s="140"/>
      <c r="HE132" s="140"/>
      <c r="HF132" s="140"/>
      <c r="HG132" s="140"/>
      <c r="HH132" s="140"/>
      <c r="HI132" s="140"/>
    </row>
    <row r="133" spans="2:228" ht="15.75" thickBot="1">
      <c r="B133" s="400" t="s">
        <v>58</v>
      </c>
      <c r="C133" s="403">
        <f t="shared" si="284"/>
        <v>0</v>
      </c>
      <c r="D133" s="403">
        <f t="shared" si="277"/>
        <v>1</v>
      </c>
      <c r="E133" s="403">
        <f t="shared" si="278"/>
        <v>0</v>
      </c>
      <c r="F133" s="403">
        <f t="shared" si="279"/>
        <v>0</v>
      </c>
      <c r="G133" s="403">
        <f t="shared" si="280"/>
        <v>0</v>
      </c>
      <c r="H133" s="403">
        <f t="shared" si="281"/>
        <v>3</v>
      </c>
      <c r="I133" s="403">
        <f t="shared" si="282"/>
        <v>0</v>
      </c>
      <c r="J133" s="403">
        <f t="shared" si="283"/>
        <v>1</v>
      </c>
      <c r="O133" s="33">
        <v>2015</v>
      </c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AR133" s="14"/>
      <c r="AS133" s="14"/>
      <c r="BE133" s="191"/>
      <c r="BF133" s="191"/>
      <c r="BG133" s="191"/>
      <c r="BT133" s="190"/>
      <c r="FH133" s="634"/>
      <c r="FI133" s="634"/>
      <c r="FJ133" s="14"/>
      <c r="FK133" s="634"/>
      <c r="FL133" s="634"/>
      <c r="FM133" s="634"/>
      <c r="FN133" s="634"/>
      <c r="FO133" s="634"/>
      <c r="FP133" s="14"/>
      <c r="FQ133" s="634"/>
      <c r="FR133" s="634"/>
      <c r="GO133" s="161"/>
      <c r="GP133" s="160"/>
      <c r="GQ133" s="160"/>
      <c r="GR133" s="160"/>
      <c r="GS133" s="140"/>
      <c r="GT133" s="140"/>
      <c r="GU133" s="140"/>
      <c r="GV133" s="140"/>
      <c r="GW133" s="140"/>
      <c r="GX133" s="140"/>
      <c r="GY133" s="140"/>
      <c r="GZ133" s="140"/>
      <c r="HA133" s="140"/>
      <c r="HB133" s="140"/>
      <c r="HC133" s="140"/>
      <c r="HD133" s="140"/>
      <c r="HE133" s="140"/>
      <c r="HF133" s="140"/>
      <c r="HG133" s="140"/>
      <c r="HH133" s="140"/>
      <c r="HI133" s="140"/>
    </row>
    <row r="134" spans="2:228" ht="15.75" thickBot="1">
      <c r="B134" s="398" t="s">
        <v>488</v>
      </c>
      <c r="C134" s="402">
        <f t="shared" si="284"/>
        <v>0</v>
      </c>
      <c r="D134" s="402">
        <f t="shared" si="277"/>
        <v>2</v>
      </c>
      <c r="E134" s="402">
        <f t="shared" si="278"/>
        <v>1</v>
      </c>
      <c r="F134" s="402">
        <f t="shared" si="279"/>
        <v>0</v>
      </c>
      <c r="G134" s="403">
        <f t="shared" si="280"/>
        <v>10</v>
      </c>
      <c r="H134" s="402">
        <f t="shared" si="281"/>
        <v>0</v>
      </c>
      <c r="I134" s="402">
        <f t="shared" si="282"/>
        <v>0</v>
      </c>
      <c r="J134" s="402">
        <f t="shared" si="283"/>
        <v>0</v>
      </c>
      <c r="K134" s="340"/>
      <c r="L134" s="210"/>
      <c r="M134" s="210"/>
      <c r="N134" s="210"/>
      <c r="O134" s="163">
        <f t="shared" ref="O134:O139" si="285">SUMPRODUCT((Notaire=A210)*(Prog=$O$133))</f>
        <v>1</v>
      </c>
      <c r="Z134" s="153"/>
      <c r="AA134" s="153"/>
      <c r="AB134" s="153"/>
      <c r="AR134" s="14"/>
      <c r="AS134" s="14"/>
      <c r="BE134" s="191"/>
      <c r="BF134" s="191"/>
      <c r="BG134" s="191"/>
      <c r="BT134" s="190"/>
      <c r="FH134" s="634"/>
      <c r="FI134" s="634"/>
      <c r="FJ134" s="14"/>
      <c r="FK134" s="634"/>
      <c r="FL134" s="634"/>
      <c r="FM134" s="634"/>
      <c r="FN134" s="634"/>
      <c r="FO134" s="634"/>
      <c r="FP134" s="14"/>
      <c r="FQ134" s="634"/>
      <c r="FR134" s="634"/>
      <c r="GO134" s="159"/>
      <c r="GP134" s="160"/>
      <c r="GQ134" s="160"/>
      <c r="GR134" s="160"/>
      <c r="GS134" s="140"/>
      <c r="GT134" s="140"/>
      <c r="GU134" s="140"/>
      <c r="GV134" s="140"/>
      <c r="GW134" s="140"/>
      <c r="GX134" s="140"/>
      <c r="GY134" s="140"/>
      <c r="GZ134" s="140"/>
      <c r="HA134" s="140"/>
      <c r="HB134" s="140"/>
      <c r="HC134" s="140"/>
      <c r="HD134" s="140"/>
      <c r="HE134" s="140"/>
      <c r="HF134" s="140"/>
      <c r="HG134" s="140"/>
      <c r="HH134" s="140"/>
      <c r="HI134" s="140"/>
    </row>
    <row r="135" spans="2:228" ht="15.75" thickBot="1">
      <c r="B135" s="284">
        <f>SUBTOTAL(9,C135:J135)</f>
        <v>53</v>
      </c>
      <c r="C135" s="399">
        <f t="shared" ref="C135:J135" si="286">SUM(C123:C134)</f>
        <v>8</v>
      </c>
      <c r="D135" s="399">
        <f t="shared" si="286"/>
        <v>9</v>
      </c>
      <c r="E135" s="399">
        <f t="shared" si="286"/>
        <v>3</v>
      </c>
      <c r="F135" s="399">
        <f t="shared" si="286"/>
        <v>0</v>
      </c>
      <c r="G135" s="399">
        <f t="shared" si="286"/>
        <v>10</v>
      </c>
      <c r="H135" s="399">
        <f t="shared" si="286"/>
        <v>10</v>
      </c>
      <c r="I135" s="399">
        <f t="shared" si="286"/>
        <v>3</v>
      </c>
      <c r="J135" s="399">
        <f t="shared" si="286"/>
        <v>10</v>
      </c>
      <c r="K135" s="340"/>
      <c r="L135" s="210"/>
      <c r="M135" s="210"/>
      <c r="N135" s="210"/>
      <c r="O135" s="164">
        <f t="shared" si="285"/>
        <v>0</v>
      </c>
      <c r="Z135" s="153"/>
      <c r="AA135" s="153"/>
      <c r="AB135" s="153"/>
      <c r="AR135" s="14"/>
      <c r="AS135" s="14"/>
      <c r="BE135" s="191"/>
      <c r="BF135" s="191"/>
      <c r="BG135" s="191"/>
      <c r="BT135" s="190"/>
      <c r="FH135" s="634"/>
      <c r="FI135" s="634"/>
      <c r="FJ135" s="14"/>
      <c r="FK135" s="634"/>
      <c r="FL135" s="634"/>
      <c r="FM135" s="634"/>
      <c r="FN135" s="634"/>
      <c r="FO135" s="634"/>
      <c r="FP135" s="14"/>
      <c r="FQ135" s="634"/>
      <c r="FR135" s="634"/>
      <c r="GO135" s="161"/>
      <c r="GP135" s="160"/>
      <c r="GQ135" s="160"/>
      <c r="GR135" s="160"/>
      <c r="GS135" s="140"/>
      <c r="GT135" s="140"/>
      <c r="GU135" s="140"/>
      <c r="GV135" s="140"/>
      <c r="GW135" s="140"/>
      <c r="GX135" s="140"/>
      <c r="GY135" s="140"/>
      <c r="GZ135" s="140"/>
      <c r="HA135" s="140"/>
      <c r="HB135" s="140"/>
      <c r="HC135" s="140"/>
      <c r="HD135" s="140"/>
      <c r="HE135" s="140"/>
      <c r="HF135" s="140"/>
      <c r="HG135" s="140"/>
      <c r="HH135" s="140"/>
      <c r="HI135" s="140"/>
    </row>
    <row r="136" spans="2:228">
      <c r="B136" s="284" t="s">
        <v>630</v>
      </c>
      <c r="C136" s="283">
        <v>2</v>
      </c>
      <c r="D136" s="283">
        <v>1</v>
      </c>
      <c r="E136" s="283"/>
      <c r="F136" s="283"/>
      <c r="G136" s="283"/>
      <c r="H136" s="283">
        <v>1</v>
      </c>
      <c r="I136" s="283"/>
      <c r="J136" s="283"/>
      <c r="K136" s="340"/>
      <c r="L136" s="210"/>
      <c r="M136" s="210"/>
      <c r="N136" s="210"/>
      <c r="O136" s="164">
        <f t="shared" si="285"/>
        <v>3</v>
      </c>
      <c r="Z136" s="153"/>
      <c r="AA136" s="153"/>
      <c r="AB136" s="153"/>
      <c r="AR136" s="14"/>
      <c r="AS136" s="14"/>
      <c r="BE136" s="191"/>
      <c r="BF136" s="191"/>
      <c r="BG136" s="191"/>
      <c r="BT136" s="190"/>
      <c r="FH136" s="634"/>
      <c r="FI136" s="634"/>
      <c r="FJ136" s="14"/>
      <c r="FK136" s="634"/>
      <c r="FL136" s="634"/>
      <c r="FM136" s="634"/>
      <c r="FN136" s="634"/>
      <c r="FO136" s="634"/>
      <c r="FP136" s="14"/>
      <c r="FQ136" s="634"/>
      <c r="FR136" s="634"/>
      <c r="GO136" s="159"/>
      <c r="GP136" s="160"/>
      <c r="GQ136" s="160"/>
      <c r="GR136" s="160"/>
      <c r="GS136" s="140"/>
      <c r="GT136" s="140"/>
      <c r="GU136" s="140"/>
      <c r="GV136" s="140"/>
      <c r="GW136" s="140"/>
      <c r="GX136" s="140"/>
      <c r="GY136" s="140"/>
      <c r="GZ136" s="140"/>
      <c r="HA136" s="140"/>
      <c r="HB136" s="140"/>
      <c r="HC136" s="140"/>
      <c r="HD136" s="140"/>
      <c r="HE136" s="140"/>
      <c r="HF136" s="140"/>
      <c r="HG136" s="140"/>
      <c r="HH136" s="140"/>
      <c r="HI136" s="140"/>
    </row>
    <row r="137" spans="2:228">
      <c r="B137" s="283"/>
      <c r="C137" s="401">
        <f>C135+C136</f>
        <v>10</v>
      </c>
      <c r="D137" s="284">
        <f t="shared" ref="D137:J137" si="287">D135+D136</f>
        <v>10</v>
      </c>
      <c r="E137" s="284">
        <f t="shared" si="287"/>
        <v>3</v>
      </c>
      <c r="F137" s="284">
        <f t="shared" si="287"/>
        <v>0</v>
      </c>
      <c r="G137" s="284">
        <f t="shared" si="287"/>
        <v>10</v>
      </c>
      <c r="H137" s="284">
        <f t="shared" si="287"/>
        <v>11</v>
      </c>
      <c r="I137" s="284">
        <f t="shared" si="287"/>
        <v>3</v>
      </c>
      <c r="J137" s="284">
        <f t="shared" si="287"/>
        <v>10</v>
      </c>
      <c r="K137" s="340"/>
      <c r="L137" s="210"/>
      <c r="M137" s="210"/>
      <c r="N137" s="210"/>
      <c r="O137" s="164">
        <f t="shared" si="285"/>
        <v>0</v>
      </c>
      <c r="Z137" s="153"/>
      <c r="AA137" s="153"/>
      <c r="AB137" s="153"/>
      <c r="AR137" s="14"/>
      <c r="AS137" s="14"/>
      <c r="BE137" s="191"/>
      <c r="BF137" s="191"/>
      <c r="BG137" s="191"/>
      <c r="BT137" s="190"/>
      <c r="FH137" s="634"/>
      <c r="FI137" s="634"/>
      <c r="FJ137" s="14"/>
      <c r="FK137" s="634"/>
      <c r="FL137" s="634"/>
      <c r="FM137" s="634"/>
      <c r="FN137" s="634"/>
      <c r="FO137" s="634"/>
      <c r="FP137" s="14"/>
      <c r="FQ137" s="634"/>
      <c r="FR137" s="634"/>
      <c r="GO137" s="140"/>
      <c r="GP137" s="140"/>
      <c r="GQ137" s="140"/>
      <c r="GR137" s="140"/>
      <c r="GS137" s="140"/>
      <c r="GT137" s="140"/>
      <c r="GU137" s="140"/>
      <c r="GV137" s="140"/>
      <c r="GW137" s="140"/>
      <c r="GX137" s="140"/>
      <c r="GY137" s="140"/>
      <c r="GZ137" s="140"/>
      <c r="HA137" s="140"/>
      <c r="HB137" s="140"/>
      <c r="HC137" s="140"/>
      <c r="HD137" s="140"/>
      <c r="HE137" s="140"/>
      <c r="HF137" s="140"/>
      <c r="HG137" s="140"/>
      <c r="HH137" s="140"/>
      <c r="HI137" s="140"/>
    </row>
    <row r="138" spans="2:228">
      <c r="K138" s="340"/>
      <c r="L138" s="210"/>
      <c r="M138" s="210"/>
      <c r="N138" s="210"/>
      <c r="O138" s="164">
        <f t="shared" si="285"/>
        <v>2</v>
      </c>
      <c r="Z138" s="153"/>
      <c r="AA138" s="153"/>
      <c r="AB138" s="153"/>
      <c r="FH138" s="634"/>
      <c r="FI138" s="634"/>
      <c r="FJ138" s="14"/>
      <c r="FK138" s="634"/>
      <c r="FL138" s="634"/>
      <c r="FM138" s="634"/>
      <c r="FN138" s="634"/>
      <c r="FO138" s="634"/>
      <c r="FP138" s="14"/>
      <c r="FQ138" s="634"/>
      <c r="FR138" s="634"/>
      <c r="HA138" s="14"/>
      <c r="HB138" s="14"/>
      <c r="HC138" s="14"/>
      <c r="HD138" s="14"/>
      <c r="HE138" s="14"/>
      <c r="HF138" s="14"/>
      <c r="HG138" s="14"/>
      <c r="HH138" s="14"/>
    </row>
    <row r="139" spans="2:228" ht="15.75" thickBot="1">
      <c r="I139" s="14" t="s">
        <v>698</v>
      </c>
      <c r="K139" s="340"/>
      <c r="L139" s="210"/>
      <c r="M139" s="210"/>
      <c r="N139" s="210"/>
      <c r="O139" s="164">
        <f t="shared" si="285"/>
        <v>0</v>
      </c>
      <c r="Z139" s="153"/>
      <c r="AA139" s="153"/>
      <c r="AB139" s="153"/>
      <c r="FH139" s="634"/>
      <c r="FI139" s="634"/>
      <c r="FJ139" s="14"/>
      <c r="FK139" s="634"/>
      <c r="FL139" s="634"/>
      <c r="FM139" s="634"/>
      <c r="FN139" s="634"/>
      <c r="FO139" s="634"/>
      <c r="FP139" s="14"/>
      <c r="FQ139" s="634"/>
      <c r="FR139" s="634"/>
      <c r="HA139" s="14"/>
      <c r="HB139" s="14"/>
      <c r="HC139" s="14"/>
      <c r="HD139" s="14"/>
      <c r="HE139" s="14"/>
      <c r="HF139" s="14"/>
      <c r="HG139" s="14"/>
      <c r="HH139" s="14"/>
    </row>
    <row r="140" spans="2:228">
      <c r="B140" s="283"/>
      <c r="C140" s="285" t="s">
        <v>287</v>
      </c>
      <c r="D140" s="285" t="s">
        <v>10</v>
      </c>
      <c r="E140" s="285" t="s">
        <v>430</v>
      </c>
      <c r="H140" s="420" t="s">
        <v>190</v>
      </c>
      <c r="I140" s="420">
        <v>1</v>
      </c>
      <c r="O140" s="33">
        <f>SUM(O134:O139)</f>
        <v>6</v>
      </c>
      <c r="P140" s="33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  <c r="AB140" s="33"/>
      <c r="AC140" s="33">
        <f>SUM(D210:D215)</f>
        <v>10</v>
      </c>
      <c r="AD140" s="33">
        <f>SUM(E210:E215)</f>
        <v>6</v>
      </c>
      <c r="FH140" s="634"/>
      <c r="FI140" s="634"/>
      <c r="FJ140" s="14"/>
      <c r="FK140" s="634"/>
      <c r="FL140" s="634"/>
      <c r="FM140" s="634"/>
      <c r="FN140" s="634"/>
      <c r="FO140" s="634"/>
      <c r="FP140" s="14"/>
      <c r="FQ140" s="634"/>
      <c r="FR140" s="634"/>
      <c r="HA140" s="14"/>
      <c r="HB140" s="14"/>
      <c r="HC140" s="14"/>
      <c r="HD140" s="14"/>
      <c r="HE140" s="14"/>
      <c r="HF140" s="14"/>
      <c r="HG140" s="14"/>
      <c r="HH140" s="14"/>
    </row>
    <row r="141" spans="2:228">
      <c r="B141" s="286" t="s">
        <v>408</v>
      </c>
      <c r="C141" s="285" t="s">
        <v>429</v>
      </c>
      <c r="D141" s="285" t="s">
        <v>151</v>
      </c>
      <c r="E141" s="285" t="s">
        <v>190</v>
      </c>
      <c r="H141" s="421" t="s">
        <v>297</v>
      </c>
      <c r="I141" s="421">
        <v>1</v>
      </c>
      <c r="AM141" s="153"/>
      <c r="AN141" s="32"/>
      <c r="AR141" s="14"/>
      <c r="AS141" s="14"/>
      <c r="BR141" s="191"/>
      <c r="BT141" s="190"/>
      <c r="FH141" s="634"/>
      <c r="FI141" s="634"/>
      <c r="FJ141" s="14"/>
      <c r="FK141" s="634"/>
      <c r="FL141" s="634"/>
      <c r="FM141" s="634"/>
      <c r="FN141" s="634"/>
      <c r="FO141" s="634"/>
      <c r="FP141" s="14"/>
      <c r="FQ141" s="634"/>
      <c r="FR141" s="634"/>
      <c r="HA141" s="14"/>
      <c r="HB141" s="14"/>
      <c r="HC141" s="14"/>
      <c r="HD141" s="14"/>
      <c r="HE141" s="14"/>
      <c r="HF141" s="14"/>
      <c r="HG141" s="14"/>
      <c r="HH141" s="14"/>
    </row>
    <row r="142" spans="2:228">
      <c r="B142" s="286" t="s">
        <v>404</v>
      </c>
      <c r="C142" s="285" t="s">
        <v>431</v>
      </c>
      <c r="D142" s="285" t="s">
        <v>151</v>
      </c>
      <c r="E142" s="285" t="s">
        <v>697</v>
      </c>
      <c r="H142" s="421" t="s">
        <v>739</v>
      </c>
      <c r="I142" s="421">
        <v>0</v>
      </c>
      <c r="AM142" s="153"/>
      <c r="AN142" s="32"/>
      <c r="AR142" s="14"/>
      <c r="AS142" s="14"/>
      <c r="BR142" s="191"/>
      <c r="BT142" s="190"/>
      <c r="FH142" s="634"/>
      <c r="FI142" s="634"/>
      <c r="FJ142" s="14"/>
      <c r="FK142" s="634"/>
      <c r="FL142" s="634"/>
      <c r="FM142" s="634"/>
      <c r="FN142" s="634"/>
      <c r="FO142" s="634"/>
      <c r="FP142" s="14"/>
      <c r="FQ142" s="634"/>
      <c r="FR142" s="634"/>
      <c r="HA142" s="14"/>
      <c r="HB142" s="14"/>
      <c r="HC142" s="14"/>
      <c r="HD142" s="14"/>
      <c r="HE142" s="14"/>
      <c r="HF142" s="14"/>
      <c r="HG142" s="14"/>
      <c r="HH142" s="14"/>
    </row>
    <row r="143" spans="2:228">
      <c r="B143" s="286" t="s">
        <v>405</v>
      </c>
      <c r="C143" s="285" t="s">
        <v>265</v>
      </c>
      <c r="D143" s="285" t="s">
        <v>151</v>
      </c>
      <c r="E143" s="285" t="s">
        <v>697</v>
      </c>
      <c r="H143" s="421" t="s">
        <v>461</v>
      </c>
      <c r="I143" s="421">
        <v>3</v>
      </c>
      <c r="AM143" s="153"/>
      <c r="AN143" s="32"/>
      <c r="AR143" s="14"/>
      <c r="AS143" s="14"/>
      <c r="BR143" s="191"/>
      <c r="BT143" s="190"/>
      <c r="FH143" s="634"/>
      <c r="FI143" s="634"/>
      <c r="FJ143" s="14"/>
      <c r="FK143" s="634"/>
      <c r="FL143" s="634"/>
      <c r="FM143" s="634"/>
      <c r="FN143" s="634"/>
      <c r="FO143" s="634"/>
      <c r="FP143" s="14"/>
      <c r="FQ143" s="634"/>
      <c r="FR143" s="634"/>
      <c r="HA143" s="14"/>
      <c r="HB143" s="14"/>
      <c r="HC143" s="14"/>
      <c r="HD143" s="14"/>
      <c r="HE143" s="14"/>
      <c r="HF143" s="14"/>
      <c r="HG143" s="14"/>
      <c r="HH143" s="14"/>
    </row>
    <row r="144" spans="2:228">
      <c r="B144" s="286" t="s">
        <v>406</v>
      </c>
      <c r="C144" s="285" t="s">
        <v>265</v>
      </c>
      <c r="D144" s="285" t="s">
        <v>151</v>
      </c>
      <c r="E144" s="285" t="s">
        <v>256</v>
      </c>
      <c r="H144" s="421" t="s">
        <v>189</v>
      </c>
      <c r="I144" s="421">
        <v>0</v>
      </c>
      <c r="AM144" s="153"/>
      <c r="AN144" s="32"/>
      <c r="AR144" s="14"/>
      <c r="AS144" s="14"/>
      <c r="BR144" s="191"/>
      <c r="BT144" s="190"/>
      <c r="FH144" s="634"/>
      <c r="FI144" s="634"/>
      <c r="FJ144" s="14"/>
      <c r="FK144" s="634"/>
      <c r="FL144" s="634"/>
      <c r="FM144" s="634"/>
      <c r="FN144" s="634"/>
      <c r="FO144" s="634"/>
      <c r="FP144" s="14"/>
      <c r="FQ144" s="634"/>
      <c r="FR144" s="634"/>
      <c r="HA144" s="14"/>
      <c r="HB144" s="14"/>
      <c r="HC144" s="14"/>
      <c r="HD144" s="14"/>
      <c r="HE144" s="14"/>
      <c r="HF144" s="14"/>
      <c r="HG144" s="14"/>
      <c r="HH144" s="14"/>
    </row>
    <row r="145" spans="2:216">
      <c r="B145" s="286" t="s">
        <v>663</v>
      </c>
      <c r="C145" s="285" t="s">
        <v>253</v>
      </c>
      <c r="D145" s="285" t="s">
        <v>151</v>
      </c>
      <c r="E145" s="285" t="s">
        <v>297</v>
      </c>
      <c r="H145" s="421" t="s">
        <v>697</v>
      </c>
      <c r="I145" s="421">
        <v>1</v>
      </c>
      <c r="AM145" s="153"/>
      <c r="AN145" s="32"/>
      <c r="AR145" s="14"/>
      <c r="AS145" s="14"/>
      <c r="BR145" s="191"/>
      <c r="BT145" s="190"/>
      <c r="FH145" s="634"/>
      <c r="FI145" s="634"/>
      <c r="FJ145" s="14"/>
      <c r="FK145" s="634"/>
      <c r="FL145" s="634"/>
      <c r="FM145" s="634"/>
      <c r="FN145" s="634"/>
      <c r="FO145" s="634"/>
      <c r="FP145" s="14"/>
      <c r="FQ145" s="634"/>
      <c r="FR145" s="634"/>
      <c r="HA145" s="14"/>
      <c r="HB145" s="14"/>
      <c r="HC145" s="14"/>
      <c r="HD145" s="14"/>
      <c r="HE145" s="14"/>
      <c r="HF145" s="14"/>
      <c r="HG145" s="14"/>
      <c r="HH145" s="14"/>
    </row>
    <row r="146" spans="2:216">
      <c r="B146" s="287" t="s">
        <v>407</v>
      </c>
      <c r="C146" s="285" t="s">
        <v>265</v>
      </c>
      <c r="D146" s="285" t="s">
        <v>37</v>
      </c>
      <c r="E146" s="285" t="s">
        <v>256</v>
      </c>
      <c r="H146" s="421" t="s">
        <v>188</v>
      </c>
      <c r="I146" s="421">
        <v>0</v>
      </c>
      <c r="AM146" s="153"/>
      <c r="AN146" s="32"/>
      <c r="AR146" s="14"/>
      <c r="AS146" s="14"/>
      <c r="BR146" s="191"/>
      <c r="BT146" s="190"/>
      <c r="FH146" s="634"/>
      <c r="FI146" s="634"/>
      <c r="FJ146" s="14"/>
      <c r="FK146" s="634"/>
      <c r="FL146" s="634"/>
      <c r="FM146" s="634"/>
      <c r="FN146" s="634"/>
      <c r="FO146" s="634"/>
      <c r="FP146" s="14"/>
      <c r="FQ146" s="634"/>
      <c r="FR146" s="634"/>
      <c r="HA146" s="14"/>
      <c r="HB146" s="14"/>
      <c r="HC146" s="14"/>
      <c r="HD146" s="14"/>
      <c r="HE146" s="14"/>
      <c r="HF146" s="14"/>
      <c r="HG146" s="14"/>
      <c r="HH146" s="14"/>
    </row>
    <row r="147" spans="2:216" ht="15.75" thickBot="1">
      <c r="B147" s="287" t="s">
        <v>432</v>
      </c>
      <c r="C147" s="285" t="s">
        <v>433</v>
      </c>
      <c r="D147" s="285" t="s">
        <v>151</v>
      </c>
      <c r="E147" s="285" t="s">
        <v>190</v>
      </c>
      <c r="H147" s="422" t="s">
        <v>519</v>
      </c>
      <c r="I147" s="422">
        <v>1</v>
      </c>
      <c r="AM147" s="153"/>
      <c r="AN147" s="32"/>
      <c r="AR147" s="14"/>
      <c r="AS147" s="14"/>
      <c r="BR147" s="191"/>
      <c r="BT147" s="190"/>
      <c r="FH147" s="634"/>
      <c r="FI147" s="634"/>
      <c r="FJ147" s="14"/>
      <c r="FK147" s="634"/>
      <c r="FL147" s="634"/>
      <c r="FM147" s="634"/>
      <c r="FN147" s="634"/>
      <c r="FO147" s="634"/>
      <c r="FP147" s="14"/>
      <c r="FQ147" s="634"/>
      <c r="FR147" s="634"/>
      <c r="HA147" s="14"/>
      <c r="HB147" s="14"/>
      <c r="HC147" s="14"/>
      <c r="HD147" s="14"/>
      <c r="HE147" s="14"/>
      <c r="HF147" s="14"/>
      <c r="HG147" s="14"/>
      <c r="HH147" s="14"/>
    </row>
    <row r="148" spans="2:216" ht="29.25" customHeight="1">
      <c r="B148" s="287" t="s">
        <v>704</v>
      </c>
      <c r="C148" s="285" t="s">
        <v>433</v>
      </c>
      <c r="D148" s="285" t="s">
        <v>423</v>
      </c>
      <c r="E148" s="285" t="s">
        <v>697</v>
      </c>
      <c r="H148" s="348"/>
      <c r="I148" s="348"/>
      <c r="AM148" s="153"/>
      <c r="AN148" s="32"/>
      <c r="AR148" s="14"/>
      <c r="AS148" s="14"/>
      <c r="BR148" s="191"/>
      <c r="BT148" s="190"/>
      <c r="FH148" s="634"/>
      <c r="FI148" s="634"/>
      <c r="FJ148" s="14"/>
      <c r="FK148" s="634"/>
      <c r="FL148" s="634"/>
      <c r="FM148" s="634"/>
      <c r="FN148" s="634"/>
      <c r="FO148" s="634"/>
      <c r="FP148" s="14"/>
      <c r="FQ148" s="634"/>
      <c r="FR148" s="634"/>
      <c r="HA148" s="14"/>
      <c r="HB148" s="14"/>
      <c r="HC148" s="14"/>
      <c r="HD148" s="14"/>
      <c r="HE148" s="14"/>
      <c r="HF148" s="14"/>
      <c r="HG148" s="14"/>
      <c r="HH148" s="14"/>
    </row>
    <row r="149" spans="2:216" ht="30.75" customHeight="1">
      <c r="AM149" s="153"/>
      <c r="AN149" s="32"/>
      <c r="AR149" s="14"/>
      <c r="AS149" s="14"/>
      <c r="BR149" s="191"/>
      <c r="BT149" s="190"/>
      <c r="FH149" s="634"/>
      <c r="FI149" s="634"/>
      <c r="FJ149" s="14"/>
      <c r="FK149" s="634"/>
      <c r="FL149" s="634"/>
      <c r="FM149" s="634"/>
      <c r="FN149" s="634"/>
      <c r="FO149" s="634"/>
      <c r="FP149" s="14"/>
      <c r="FQ149" s="634"/>
      <c r="FR149" s="634"/>
      <c r="HA149" s="14"/>
      <c r="HB149" s="14"/>
      <c r="HC149" s="14"/>
      <c r="HD149" s="14"/>
      <c r="HE149" s="14"/>
      <c r="HF149" s="14"/>
      <c r="HG149" s="14"/>
      <c r="HH149" s="14"/>
    </row>
    <row r="150" spans="2:216" ht="19.5" thickBot="1">
      <c r="C150" s="437" t="s">
        <v>635</v>
      </c>
      <c r="D150" s="437"/>
      <c r="E150" s="437"/>
      <c r="F150" s="437"/>
      <c r="G150" s="437"/>
      <c r="H150" s="437"/>
      <c r="I150" s="437"/>
      <c r="J150" s="437"/>
      <c r="K150" s="437"/>
      <c r="L150" s="437"/>
      <c r="M150" s="437"/>
      <c r="N150" s="437"/>
      <c r="AM150" s="153"/>
      <c r="AN150" s="32"/>
      <c r="AR150" s="14"/>
      <c r="AS150" s="14"/>
      <c r="BR150" s="191"/>
      <c r="BT150" s="190"/>
      <c r="FH150" s="634"/>
      <c r="FI150" s="634"/>
      <c r="FJ150" s="14"/>
      <c r="FK150" s="634"/>
      <c r="FL150" s="634"/>
      <c r="FM150" s="634"/>
      <c r="FN150" s="634"/>
      <c r="FO150" s="634"/>
      <c r="FP150" s="14"/>
      <c r="FQ150" s="634"/>
      <c r="FR150" s="634"/>
      <c r="HA150" s="14"/>
      <c r="HB150" s="14"/>
      <c r="HC150" s="14"/>
      <c r="HD150" s="14"/>
      <c r="HE150" s="14"/>
      <c r="HF150" s="14"/>
      <c r="HG150" s="14"/>
      <c r="HH150" s="14"/>
    </row>
    <row r="151" spans="2:216" ht="16.5" thickBot="1">
      <c r="C151" s="755" t="s">
        <v>631</v>
      </c>
      <c r="D151" s="756"/>
      <c r="E151" s="765" t="s">
        <v>632</v>
      </c>
      <c r="F151" s="766"/>
      <c r="G151" s="763" t="s">
        <v>275</v>
      </c>
      <c r="H151" s="764"/>
      <c r="I151" s="761" t="s">
        <v>274</v>
      </c>
      <c r="J151" s="762"/>
      <c r="K151" s="759" t="s">
        <v>181</v>
      </c>
      <c r="L151" s="760"/>
      <c r="M151" s="757" t="s">
        <v>633</v>
      </c>
      <c r="N151" s="758"/>
      <c r="AM151" s="153"/>
      <c r="AN151" s="32"/>
      <c r="AR151" s="14"/>
      <c r="AS151" s="14"/>
      <c r="BR151" s="191"/>
      <c r="BT151" s="190"/>
      <c r="FH151" s="634"/>
      <c r="FI151" s="634"/>
      <c r="FJ151" s="14"/>
      <c r="FK151" s="634"/>
      <c r="FL151" s="634"/>
      <c r="FM151" s="634"/>
      <c r="FN151" s="634"/>
      <c r="FO151" s="634"/>
      <c r="FP151" s="14"/>
      <c r="FQ151" s="634"/>
      <c r="FR151" s="634"/>
      <c r="HA151" s="14"/>
      <c r="HB151" s="14"/>
      <c r="HC151" s="14"/>
      <c r="HD151" s="14"/>
      <c r="HE151" s="14"/>
      <c r="HF151" s="14"/>
      <c r="HG151" s="14"/>
      <c r="HH151" s="14"/>
    </row>
    <row r="152" spans="2:216">
      <c r="B152" s="420" t="s">
        <v>190</v>
      </c>
      <c r="C152" s="404">
        <f t="shared" ref="C152:C159" si="288">SUMPRODUCT((Ass=B152)*((Avancement="Faisa")+(Avancement="ESQ")+(Avancement="APS")+(Avancement="PC")+(Avancement="APD")))</f>
        <v>1</v>
      </c>
      <c r="D152" s="408">
        <f>C152/$C$160</f>
        <v>8.3333333333333329E-2</v>
      </c>
      <c r="E152" s="404">
        <f t="shared" ref="E152:E159" si="289">SUMPRODUCT((Ass=B152)*((Avancement="PRO")+(Avancement="DCE")+(Avancement="AO")))</f>
        <v>3</v>
      </c>
      <c r="F152" s="408">
        <f>E152/$E$160</f>
        <v>0.17647058823529413</v>
      </c>
      <c r="G152" s="404">
        <f t="shared" ref="G152:G159" si="290">SUMPRODUCT((Ass=B152)*((Avancement="OS")))</f>
        <v>1</v>
      </c>
      <c r="H152" s="408">
        <f>G152/$G$160</f>
        <v>1</v>
      </c>
      <c r="I152" s="404">
        <f>SUMPRODUCT((Ass=B152)*((Avancement="Tvx")+(Avancement="Réception")))-1</f>
        <v>2</v>
      </c>
      <c r="J152" s="408">
        <f>I152/$I$160</f>
        <v>0.14285714285714285</v>
      </c>
      <c r="K152" s="404">
        <f t="shared" ref="K152:K159" si="291">SUMPRODUCT((Ass=B152)*((Avancement="GPA")))</f>
        <v>0</v>
      </c>
      <c r="L152" s="408">
        <f>K152/$K$160</f>
        <v>0</v>
      </c>
      <c r="M152" s="404">
        <f t="shared" ref="M152:M159" si="292">SUMPRODUCT((Ass=B152)*((Avancement="clôture défisc")))</f>
        <v>1</v>
      </c>
      <c r="N152" s="408">
        <f>M152/$M$160</f>
        <v>0.5</v>
      </c>
      <c r="O152" s="420">
        <f>C152+E152+G152+I152+K152+M152</f>
        <v>8</v>
      </c>
      <c r="P152" s="153">
        <f>O152-C135</f>
        <v>0</v>
      </c>
      <c r="AM152" s="153"/>
      <c r="AN152" s="32"/>
      <c r="AR152" s="14"/>
      <c r="AS152" s="14"/>
      <c r="BR152" s="191"/>
      <c r="BT152" s="190"/>
      <c r="FH152" s="634"/>
      <c r="FI152" s="634"/>
      <c r="FJ152" s="14"/>
      <c r="FK152" s="634"/>
      <c r="FL152" s="634"/>
      <c r="FM152" s="634"/>
      <c r="FN152" s="634"/>
      <c r="FO152" s="634"/>
      <c r="FP152" s="14"/>
      <c r="FQ152" s="634"/>
      <c r="FR152" s="634"/>
      <c r="HA152" s="14"/>
      <c r="HB152" s="14"/>
      <c r="HC152" s="14"/>
      <c r="HD152" s="14"/>
      <c r="HE152" s="14"/>
      <c r="HF152" s="14"/>
      <c r="HG152" s="14"/>
      <c r="HH152" s="14"/>
    </row>
    <row r="153" spans="2:216">
      <c r="B153" s="421" t="s">
        <v>297</v>
      </c>
      <c r="C153" s="406">
        <f t="shared" si="288"/>
        <v>4</v>
      </c>
      <c r="D153" s="409">
        <f t="shared" ref="D153:D159" si="293">C153/$C$160</f>
        <v>0.33333333333333331</v>
      </c>
      <c r="E153" s="406">
        <f t="shared" si="289"/>
        <v>4</v>
      </c>
      <c r="F153" s="409">
        <f t="shared" ref="F153:F159" si="294">E153/$E$160</f>
        <v>0.23529411764705882</v>
      </c>
      <c r="G153" s="406">
        <f t="shared" si="290"/>
        <v>0</v>
      </c>
      <c r="H153" s="409">
        <f t="shared" ref="H153:H159" si="295">G153/$G$160</f>
        <v>0</v>
      </c>
      <c r="I153" s="406">
        <f t="shared" ref="I153:I159" si="296">SUMPRODUCT((Ass=B153)*((Avancement="Tvx")+(Avancement="Réception")))</f>
        <v>0</v>
      </c>
      <c r="J153" s="409">
        <f t="shared" ref="J153:J159" si="297">I153/$I$160</f>
        <v>0</v>
      </c>
      <c r="K153" s="406">
        <f t="shared" si="291"/>
        <v>1</v>
      </c>
      <c r="L153" s="409">
        <f t="shared" ref="L153:L159" si="298">K153/$K$160</f>
        <v>0.2</v>
      </c>
      <c r="M153" s="406">
        <f t="shared" si="292"/>
        <v>0</v>
      </c>
      <c r="N153" s="409">
        <f t="shared" ref="N153:N159" si="299">M153/$M$160</f>
        <v>0</v>
      </c>
      <c r="O153" s="421">
        <f>C153+E153+G153+I153+K153+M153</f>
        <v>9</v>
      </c>
      <c r="P153" s="153">
        <f>O153-D135</f>
        <v>0</v>
      </c>
      <c r="AM153" s="153"/>
      <c r="AN153" s="32"/>
      <c r="AR153" s="14"/>
      <c r="AS153" s="14"/>
      <c r="BR153" s="191"/>
      <c r="BT153" s="190"/>
      <c r="FH153" s="634"/>
      <c r="FI153" s="634"/>
      <c r="FJ153" s="14"/>
      <c r="FK153" s="634"/>
      <c r="FL153" s="634"/>
      <c r="FM153" s="634"/>
      <c r="FN153" s="634"/>
      <c r="FO153" s="634"/>
      <c r="FP153" s="14"/>
      <c r="FQ153" s="634"/>
      <c r="FR153" s="634"/>
      <c r="HA153" s="14"/>
      <c r="HB153" s="14"/>
      <c r="HC153" s="14"/>
      <c r="HD153" s="14"/>
      <c r="HE153" s="14"/>
      <c r="HF153" s="14"/>
      <c r="HG153" s="14"/>
      <c r="HH153" s="14"/>
    </row>
    <row r="154" spans="2:216">
      <c r="B154" s="421" t="s">
        <v>739</v>
      </c>
      <c r="C154" s="406">
        <f t="shared" si="288"/>
        <v>0</v>
      </c>
      <c r="D154" s="409">
        <f t="shared" si="293"/>
        <v>0</v>
      </c>
      <c r="E154" s="406">
        <f t="shared" si="289"/>
        <v>1</v>
      </c>
      <c r="F154" s="409">
        <f t="shared" si="294"/>
        <v>5.8823529411764705E-2</v>
      </c>
      <c r="G154" s="406">
        <f t="shared" si="290"/>
        <v>0</v>
      </c>
      <c r="H154" s="409">
        <f t="shared" si="295"/>
        <v>0</v>
      </c>
      <c r="I154" s="406">
        <f t="shared" si="296"/>
        <v>2</v>
      </c>
      <c r="J154" s="409">
        <f t="shared" si="297"/>
        <v>0.14285714285714285</v>
      </c>
      <c r="K154" s="406">
        <f t="shared" si="291"/>
        <v>0</v>
      </c>
      <c r="L154" s="409">
        <f t="shared" si="298"/>
        <v>0</v>
      </c>
      <c r="M154" s="406">
        <f t="shared" si="292"/>
        <v>0</v>
      </c>
      <c r="N154" s="409">
        <f t="shared" si="299"/>
        <v>0</v>
      </c>
      <c r="O154" s="421">
        <f t="shared" ref="O154:O159" si="300">C154+E154+G154+I154+K154+M154</f>
        <v>3</v>
      </c>
      <c r="P154" s="153">
        <f>O154-E135</f>
        <v>0</v>
      </c>
      <c r="FH154" s="634"/>
      <c r="FI154" s="634"/>
      <c r="FJ154" s="14"/>
      <c r="FK154" s="634"/>
      <c r="FL154" s="634"/>
      <c r="FM154" s="634"/>
      <c r="FN154" s="634"/>
      <c r="FO154" s="634"/>
      <c r="FP154" s="14"/>
      <c r="FQ154" s="634"/>
      <c r="FR154" s="634"/>
      <c r="HA154" s="14"/>
      <c r="HB154" s="14"/>
      <c r="HC154" s="14"/>
      <c r="HD154" s="14"/>
      <c r="HE154" s="14"/>
      <c r="HF154" s="14"/>
      <c r="HG154" s="14"/>
      <c r="HH154" s="14"/>
    </row>
    <row r="155" spans="2:216">
      <c r="B155" s="421" t="s">
        <v>461</v>
      </c>
      <c r="C155" s="406">
        <f t="shared" si="288"/>
        <v>0</v>
      </c>
      <c r="D155" s="409">
        <f t="shared" si="293"/>
        <v>0</v>
      </c>
      <c r="E155" s="406">
        <f t="shared" si="289"/>
        <v>0</v>
      </c>
      <c r="F155" s="409">
        <f t="shared" si="294"/>
        <v>0</v>
      </c>
      <c r="G155" s="406">
        <f t="shared" si="290"/>
        <v>0</v>
      </c>
      <c r="H155" s="409">
        <f t="shared" si="295"/>
        <v>0</v>
      </c>
      <c r="I155" s="406">
        <f t="shared" si="296"/>
        <v>0</v>
      </c>
      <c r="J155" s="409">
        <f t="shared" si="297"/>
        <v>0</v>
      </c>
      <c r="K155" s="406">
        <f t="shared" si="291"/>
        <v>0</v>
      </c>
      <c r="L155" s="409">
        <f t="shared" si="298"/>
        <v>0</v>
      </c>
      <c r="M155" s="406">
        <f t="shared" si="292"/>
        <v>0</v>
      </c>
      <c r="N155" s="409">
        <f t="shared" si="299"/>
        <v>0</v>
      </c>
      <c r="O155" s="421">
        <f t="shared" si="300"/>
        <v>0</v>
      </c>
      <c r="P155" s="153">
        <f>O155-F135</f>
        <v>0</v>
      </c>
      <c r="FH155" s="634"/>
      <c r="FI155" s="634"/>
      <c r="FJ155" s="14"/>
      <c r="FK155" s="634"/>
      <c r="FL155" s="634"/>
      <c r="FM155" s="634"/>
      <c r="FN155" s="634"/>
      <c r="FO155" s="634"/>
      <c r="FP155" s="14"/>
      <c r="FQ155" s="634"/>
      <c r="FR155" s="634"/>
      <c r="HA155" s="14"/>
      <c r="HB155" s="14"/>
      <c r="HC155" s="14"/>
      <c r="HD155" s="14"/>
      <c r="HE155" s="14"/>
      <c r="HF155" s="14"/>
      <c r="HG155" s="14"/>
      <c r="HH155" s="14"/>
    </row>
    <row r="156" spans="2:216">
      <c r="B156" s="421" t="s">
        <v>189</v>
      </c>
      <c r="C156" s="406">
        <f t="shared" si="288"/>
        <v>5</v>
      </c>
      <c r="D156" s="409">
        <f t="shared" si="293"/>
        <v>0.41666666666666669</v>
      </c>
      <c r="E156" s="406">
        <f t="shared" si="289"/>
        <v>3</v>
      </c>
      <c r="F156" s="409">
        <f t="shared" si="294"/>
        <v>0.17647058823529413</v>
      </c>
      <c r="G156" s="406">
        <f t="shared" si="290"/>
        <v>0</v>
      </c>
      <c r="H156" s="409">
        <f t="shared" si="295"/>
        <v>0</v>
      </c>
      <c r="I156" s="406">
        <f t="shared" si="296"/>
        <v>0</v>
      </c>
      <c r="J156" s="409">
        <f t="shared" si="297"/>
        <v>0</v>
      </c>
      <c r="K156" s="406">
        <f t="shared" si="291"/>
        <v>0</v>
      </c>
      <c r="L156" s="409">
        <f t="shared" si="298"/>
        <v>0</v>
      </c>
      <c r="M156" s="406">
        <f t="shared" si="292"/>
        <v>0</v>
      </c>
      <c r="N156" s="409">
        <f t="shared" si="299"/>
        <v>0</v>
      </c>
      <c r="O156" s="421">
        <f t="shared" si="300"/>
        <v>8</v>
      </c>
      <c r="P156" s="153">
        <f>O156-G135</f>
        <v>-2</v>
      </c>
      <c r="FH156" s="634"/>
      <c r="FI156" s="634"/>
      <c r="FJ156" s="14"/>
      <c r="FK156" s="634"/>
      <c r="FL156" s="634"/>
      <c r="FM156" s="634"/>
      <c r="FN156" s="634"/>
      <c r="FO156" s="634"/>
      <c r="FP156" s="14"/>
      <c r="FQ156" s="634"/>
      <c r="FR156" s="634"/>
      <c r="HA156" s="14"/>
      <c r="HB156" s="14"/>
      <c r="HC156" s="14"/>
      <c r="HD156" s="14"/>
      <c r="HE156" s="14"/>
      <c r="HF156" s="14"/>
      <c r="HG156" s="14"/>
      <c r="HH156" s="14"/>
    </row>
    <row r="157" spans="2:216">
      <c r="B157" s="421" t="s">
        <v>697</v>
      </c>
      <c r="C157" s="406">
        <f t="shared" si="288"/>
        <v>2</v>
      </c>
      <c r="D157" s="409">
        <f t="shared" si="293"/>
        <v>0.16666666666666666</v>
      </c>
      <c r="E157" s="406">
        <f t="shared" si="289"/>
        <v>2</v>
      </c>
      <c r="F157" s="409">
        <f t="shared" si="294"/>
        <v>0.11764705882352941</v>
      </c>
      <c r="G157" s="406">
        <f t="shared" si="290"/>
        <v>0</v>
      </c>
      <c r="H157" s="409">
        <f t="shared" si="295"/>
        <v>0</v>
      </c>
      <c r="I157" s="406">
        <f t="shared" si="296"/>
        <v>2</v>
      </c>
      <c r="J157" s="409">
        <f t="shared" si="297"/>
        <v>0.14285714285714285</v>
      </c>
      <c r="K157" s="406">
        <f t="shared" si="291"/>
        <v>3</v>
      </c>
      <c r="L157" s="409">
        <f t="shared" si="298"/>
        <v>0.6</v>
      </c>
      <c r="M157" s="406">
        <f t="shared" si="292"/>
        <v>1</v>
      </c>
      <c r="N157" s="409">
        <f t="shared" si="299"/>
        <v>0.5</v>
      </c>
      <c r="O157" s="421">
        <f t="shared" si="300"/>
        <v>10</v>
      </c>
      <c r="P157" s="153">
        <f>O157-H135</f>
        <v>0</v>
      </c>
      <c r="FH157" s="634"/>
      <c r="FI157" s="634"/>
      <c r="FJ157" s="14"/>
      <c r="FK157" s="634"/>
      <c r="FL157" s="634"/>
      <c r="FM157" s="634"/>
      <c r="FN157" s="634"/>
      <c r="FO157" s="634"/>
      <c r="FP157" s="14"/>
      <c r="FQ157" s="634"/>
      <c r="FR157" s="634"/>
      <c r="HA157" s="14"/>
      <c r="HB157" s="14"/>
      <c r="HC157" s="14"/>
      <c r="HD157" s="14"/>
      <c r="HE157" s="14"/>
      <c r="HF157" s="14"/>
      <c r="HG157" s="14"/>
      <c r="HH157" s="14"/>
    </row>
    <row r="158" spans="2:216">
      <c r="B158" s="421" t="s">
        <v>188</v>
      </c>
      <c r="C158" s="406">
        <f t="shared" si="288"/>
        <v>0</v>
      </c>
      <c r="D158" s="409">
        <f t="shared" si="293"/>
        <v>0</v>
      </c>
      <c r="E158" s="406">
        <f t="shared" si="289"/>
        <v>1</v>
      </c>
      <c r="F158" s="409">
        <f t="shared" si="294"/>
        <v>5.8823529411764705E-2</v>
      </c>
      <c r="G158" s="406">
        <f t="shared" si="290"/>
        <v>0</v>
      </c>
      <c r="H158" s="409">
        <f t="shared" si="295"/>
        <v>0</v>
      </c>
      <c r="I158" s="406">
        <f t="shared" si="296"/>
        <v>1</v>
      </c>
      <c r="J158" s="409">
        <f t="shared" si="297"/>
        <v>7.1428571428571425E-2</v>
      </c>
      <c r="K158" s="406">
        <f t="shared" si="291"/>
        <v>1</v>
      </c>
      <c r="L158" s="409">
        <f t="shared" si="298"/>
        <v>0.2</v>
      </c>
      <c r="M158" s="406">
        <f t="shared" si="292"/>
        <v>0</v>
      </c>
      <c r="N158" s="409">
        <f t="shared" si="299"/>
        <v>0</v>
      </c>
      <c r="O158" s="421">
        <f t="shared" si="300"/>
        <v>3</v>
      </c>
      <c r="P158" s="153">
        <f>O158-I135</f>
        <v>0</v>
      </c>
      <c r="FH158" s="634"/>
      <c r="FI158" s="634"/>
      <c r="FJ158" s="14"/>
      <c r="FK158" s="634"/>
      <c r="FL158" s="634"/>
      <c r="FM158" s="634"/>
      <c r="FN158" s="634"/>
      <c r="FO158" s="634"/>
      <c r="FP158" s="14"/>
      <c r="FQ158" s="634"/>
      <c r="FR158" s="634"/>
      <c r="HA158" s="14"/>
      <c r="HB158" s="14"/>
      <c r="HC158" s="14"/>
      <c r="HD158" s="14"/>
      <c r="HE158" s="14"/>
      <c r="HF158" s="14"/>
      <c r="HG158" s="14"/>
      <c r="HH158" s="14"/>
    </row>
    <row r="159" spans="2:216" ht="15.75" thickBot="1">
      <c r="B159" s="422" t="s">
        <v>519</v>
      </c>
      <c r="C159" s="405">
        <f t="shared" si="288"/>
        <v>0</v>
      </c>
      <c r="D159" s="410">
        <f t="shared" si="293"/>
        <v>0</v>
      </c>
      <c r="E159" s="405">
        <f t="shared" si="289"/>
        <v>3</v>
      </c>
      <c r="F159" s="410">
        <f t="shared" si="294"/>
        <v>0.17647058823529413</v>
      </c>
      <c r="G159" s="405">
        <f t="shared" si="290"/>
        <v>0</v>
      </c>
      <c r="H159" s="410">
        <f t="shared" si="295"/>
        <v>0</v>
      </c>
      <c r="I159" s="405">
        <f t="shared" si="296"/>
        <v>7</v>
      </c>
      <c r="J159" s="410">
        <f t="shared" si="297"/>
        <v>0.5</v>
      </c>
      <c r="K159" s="405">
        <f t="shared" si="291"/>
        <v>0</v>
      </c>
      <c r="L159" s="410">
        <f t="shared" si="298"/>
        <v>0</v>
      </c>
      <c r="M159" s="405">
        <f t="shared" si="292"/>
        <v>0</v>
      </c>
      <c r="N159" s="410">
        <f t="shared" si="299"/>
        <v>0</v>
      </c>
      <c r="O159" s="422">
        <f t="shared" si="300"/>
        <v>10</v>
      </c>
      <c r="P159" s="153">
        <f>O159-J135</f>
        <v>0</v>
      </c>
      <c r="FH159" s="634"/>
      <c r="FI159" s="634"/>
      <c r="FJ159" s="14"/>
      <c r="FK159" s="634"/>
      <c r="FL159" s="634"/>
      <c r="FM159" s="634"/>
      <c r="FN159" s="634"/>
      <c r="FO159" s="634"/>
      <c r="FP159" s="14"/>
      <c r="FQ159" s="634"/>
      <c r="FR159" s="634"/>
      <c r="HA159" s="14"/>
      <c r="HB159" s="14"/>
      <c r="HC159" s="14"/>
      <c r="HD159" s="14"/>
      <c r="HE159" s="14"/>
      <c r="HF159" s="14"/>
      <c r="HG159" s="14"/>
      <c r="HH159" s="14"/>
    </row>
    <row r="160" spans="2:216" ht="15.75" thickBot="1">
      <c r="C160" s="411">
        <f t="shared" ref="C160:H160" si="301">SUM(C152:C159)</f>
        <v>12</v>
      </c>
      <c r="D160" s="412">
        <f t="shared" si="301"/>
        <v>0.99999999999999989</v>
      </c>
      <c r="E160" s="411">
        <f t="shared" si="301"/>
        <v>17</v>
      </c>
      <c r="F160" s="414">
        <f t="shared" si="301"/>
        <v>1</v>
      </c>
      <c r="G160" s="411">
        <f t="shared" si="301"/>
        <v>1</v>
      </c>
      <c r="H160" s="414">
        <f t="shared" si="301"/>
        <v>1</v>
      </c>
      <c r="I160" s="413">
        <f>SUBTOTAL(9,I152:I159)</f>
        <v>14</v>
      </c>
      <c r="J160" s="417">
        <f>SUBTOTAL(9,J152:J159)</f>
        <v>1</v>
      </c>
      <c r="K160" s="407">
        <f>SUM(K152:K159)</f>
        <v>5</v>
      </c>
      <c r="L160" s="418">
        <f>SUM(L152:L159)</f>
        <v>1</v>
      </c>
      <c r="M160" s="407">
        <f>SUM(M152:M159)</f>
        <v>2</v>
      </c>
      <c r="N160" s="419">
        <f>SUM(N152:N159)</f>
        <v>1</v>
      </c>
      <c r="O160" s="33">
        <f>SUBTOTAL(9,O152:O159)</f>
        <v>51</v>
      </c>
      <c r="FH160" s="634"/>
      <c r="FI160" s="634"/>
      <c r="FJ160" s="14"/>
      <c r="FK160" s="634"/>
      <c r="FL160" s="634"/>
      <c r="FM160" s="634"/>
      <c r="FN160" s="634"/>
      <c r="FO160" s="634"/>
      <c r="FP160" s="14"/>
      <c r="FQ160" s="634"/>
      <c r="FR160" s="634"/>
      <c r="HA160" s="14"/>
      <c r="HB160" s="14"/>
      <c r="HC160" s="14"/>
      <c r="HD160" s="14"/>
      <c r="HE160" s="14"/>
      <c r="HF160" s="14"/>
      <c r="HG160" s="14"/>
      <c r="HH160" s="14"/>
    </row>
    <row r="161" spans="164:216">
      <c r="FH161" s="634"/>
      <c r="FI161" s="634"/>
      <c r="FJ161" s="14"/>
      <c r="FK161" s="634"/>
      <c r="FL161" s="634"/>
      <c r="FM161" s="634"/>
      <c r="FN161" s="634"/>
      <c r="FO161" s="634"/>
      <c r="FP161" s="14"/>
      <c r="FQ161" s="634"/>
      <c r="FR161" s="634"/>
      <c r="HA161" s="14"/>
      <c r="HB161" s="14"/>
      <c r="HC161" s="14"/>
      <c r="HD161" s="14"/>
      <c r="HE161" s="14"/>
      <c r="HF161" s="14"/>
      <c r="HG161" s="14"/>
      <c r="HH161" s="14"/>
    </row>
    <row r="162" spans="164:216">
      <c r="FH162" s="634"/>
      <c r="FI162" s="634"/>
      <c r="FJ162" s="14"/>
      <c r="FK162" s="634"/>
      <c r="FL162" s="634"/>
      <c r="FM162" s="634"/>
      <c r="FN162" s="634"/>
      <c r="FO162" s="634"/>
      <c r="FP162" s="14"/>
      <c r="FQ162" s="634"/>
      <c r="FR162" s="634"/>
      <c r="HA162" s="14"/>
      <c r="HB162" s="14"/>
      <c r="HC162" s="14"/>
      <c r="HD162" s="14"/>
      <c r="HE162" s="14"/>
      <c r="HF162" s="14"/>
      <c r="HG162" s="14"/>
      <c r="HH162" s="14"/>
    </row>
    <row r="163" spans="164:216">
      <c r="FH163" s="634"/>
      <c r="FI163" s="634"/>
      <c r="FJ163" s="14"/>
      <c r="FK163" s="634"/>
      <c r="FL163" s="634"/>
      <c r="FM163" s="634"/>
      <c r="FN163" s="634"/>
      <c r="FO163" s="634"/>
      <c r="FP163" s="14"/>
      <c r="FQ163" s="634"/>
      <c r="FR163" s="634"/>
      <c r="HA163" s="14"/>
      <c r="HB163" s="14"/>
      <c r="HC163" s="14"/>
      <c r="HD163" s="14"/>
      <c r="HE163" s="14"/>
      <c r="HF163" s="14"/>
      <c r="HG163" s="14"/>
      <c r="HH163" s="14"/>
    </row>
    <row r="164" spans="164:216">
      <c r="FH164" s="634"/>
      <c r="FI164" s="634"/>
      <c r="FJ164" s="14"/>
      <c r="FK164" s="634"/>
      <c r="FL164" s="634"/>
      <c r="FM164" s="634"/>
      <c r="FN164" s="634"/>
      <c r="FO164" s="634"/>
      <c r="FP164" s="14"/>
      <c r="FQ164" s="634"/>
      <c r="FR164" s="634"/>
      <c r="HA164" s="14"/>
      <c r="HB164" s="14"/>
      <c r="HC164" s="14"/>
      <c r="HD164" s="14"/>
      <c r="HE164" s="14"/>
      <c r="HF164" s="14"/>
      <c r="HG164" s="14"/>
      <c r="HH164" s="14"/>
    </row>
    <row r="165" spans="164:216">
      <c r="FH165" s="634"/>
      <c r="FI165" s="634"/>
      <c r="FJ165" s="14"/>
      <c r="FK165" s="634"/>
      <c r="FL165" s="634"/>
      <c r="FM165" s="634"/>
      <c r="FN165" s="634"/>
      <c r="FO165" s="634"/>
      <c r="FP165" s="14"/>
      <c r="FQ165" s="634"/>
      <c r="FR165" s="634"/>
      <c r="HA165" s="14"/>
      <c r="HB165" s="14"/>
      <c r="HC165" s="14"/>
      <c r="HD165" s="14"/>
      <c r="HE165" s="14"/>
      <c r="HF165" s="14"/>
      <c r="HG165" s="14"/>
      <c r="HH165" s="14"/>
    </row>
    <row r="166" spans="164:216">
      <c r="FH166" s="634"/>
      <c r="FI166" s="634"/>
      <c r="FJ166" s="14"/>
      <c r="FK166" s="634"/>
      <c r="FL166" s="634"/>
      <c r="FM166" s="634"/>
      <c r="FN166" s="634"/>
      <c r="FO166" s="634"/>
      <c r="FP166" s="14"/>
      <c r="FQ166" s="634"/>
      <c r="FR166" s="634"/>
      <c r="HA166" s="14"/>
      <c r="HB166" s="14"/>
      <c r="HC166" s="14"/>
      <c r="HD166" s="14"/>
      <c r="HE166" s="14"/>
      <c r="HF166" s="14"/>
      <c r="HG166" s="14"/>
      <c r="HH166" s="14"/>
    </row>
    <row r="167" spans="164:216">
      <c r="FH167" s="634"/>
      <c r="FI167" s="634"/>
      <c r="FJ167" s="14"/>
      <c r="FK167" s="634"/>
      <c r="FL167" s="634"/>
      <c r="FM167" s="634"/>
      <c r="FN167" s="634"/>
      <c r="FO167" s="634"/>
      <c r="FP167" s="14"/>
      <c r="FQ167" s="634"/>
      <c r="FR167" s="634"/>
      <c r="HA167" s="14"/>
      <c r="HB167" s="14"/>
      <c r="HC167" s="14"/>
      <c r="HD167" s="14"/>
      <c r="HE167" s="14"/>
      <c r="HF167" s="14"/>
      <c r="HG167" s="14"/>
      <c r="HH167" s="14"/>
    </row>
    <row r="168" spans="164:216">
      <c r="FH168" s="634"/>
      <c r="FI168" s="634"/>
      <c r="FJ168" s="14"/>
      <c r="FK168" s="634"/>
      <c r="FL168" s="634"/>
      <c r="FM168" s="634"/>
      <c r="FN168" s="634"/>
      <c r="FO168" s="634"/>
      <c r="FP168" s="14"/>
      <c r="FQ168" s="634"/>
      <c r="FR168" s="634"/>
      <c r="HA168" s="14"/>
      <c r="HB168" s="14"/>
      <c r="HC168" s="14"/>
      <c r="HD168" s="14"/>
      <c r="HE168" s="14"/>
      <c r="HF168" s="14"/>
      <c r="HG168" s="14"/>
      <c r="HH168" s="14"/>
    </row>
    <row r="169" spans="164:216">
      <c r="FH169" s="634"/>
      <c r="FI169" s="634"/>
      <c r="FJ169" s="14"/>
      <c r="FK169" s="634"/>
      <c r="FL169" s="634"/>
      <c r="FM169" s="634"/>
      <c r="FN169" s="634"/>
      <c r="FO169" s="634"/>
      <c r="FP169" s="14"/>
      <c r="FQ169" s="634"/>
      <c r="FR169" s="634"/>
      <c r="HA169" s="14"/>
      <c r="HB169" s="14"/>
      <c r="HC169" s="14"/>
      <c r="HD169" s="14"/>
      <c r="HE169" s="14"/>
      <c r="HF169" s="14"/>
      <c r="HG169" s="14"/>
      <c r="HH169" s="14"/>
    </row>
    <row r="170" spans="164:216">
      <c r="FH170" s="634"/>
      <c r="FI170" s="634"/>
      <c r="FJ170" s="14"/>
      <c r="FK170" s="634"/>
      <c r="FL170" s="634"/>
      <c r="FM170" s="634"/>
      <c r="FN170" s="634"/>
      <c r="FO170" s="634"/>
      <c r="FP170" s="14"/>
      <c r="FQ170" s="634"/>
      <c r="FR170" s="634"/>
      <c r="HA170" s="14"/>
      <c r="HB170" s="14"/>
      <c r="HC170" s="14"/>
      <c r="HD170" s="14"/>
      <c r="HE170" s="14"/>
      <c r="HF170" s="14"/>
      <c r="HG170" s="14"/>
      <c r="HH170" s="14"/>
    </row>
    <row r="171" spans="164:216">
      <c r="FH171" s="634"/>
      <c r="FI171" s="634"/>
      <c r="FJ171" s="14"/>
      <c r="FK171" s="634"/>
      <c r="FL171" s="634"/>
      <c r="FM171" s="634"/>
      <c r="FN171" s="634"/>
      <c r="FO171" s="634"/>
      <c r="FP171" s="14"/>
      <c r="FQ171" s="634"/>
      <c r="FR171" s="634"/>
      <c r="HA171" s="14"/>
      <c r="HB171" s="14"/>
      <c r="HC171" s="14"/>
      <c r="HD171" s="14"/>
      <c r="HE171" s="14"/>
      <c r="HF171" s="14"/>
      <c r="HG171" s="14"/>
      <c r="HH171" s="14"/>
    </row>
    <row r="172" spans="164:216">
      <c r="FH172" s="634"/>
      <c r="FI172" s="634"/>
      <c r="FJ172" s="14"/>
      <c r="FK172" s="634"/>
      <c r="FL172" s="634"/>
      <c r="FM172" s="634"/>
      <c r="FN172" s="634"/>
      <c r="FO172" s="634"/>
      <c r="FP172" s="14"/>
      <c r="FQ172" s="634"/>
      <c r="FR172" s="634"/>
      <c r="HA172" s="14"/>
      <c r="HB172" s="14"/>
      <c r="HC172" s="14"/>
      <c r="HD172" s="14"/>
      <c r="HE172" s="14"/>
      <c r="HF172" s="14"/>
      <c r="HG172" s="14"/>
      <c r="HH172" s="14"/>
    </row>
    <row r="173" spans="164:216">
      <c r="FH173" s="634"/>
      <c r="FI173" s="634"/>
      <c r="FJ173" s="14"/>
      <c r="FK173" s="634"/>
      <c r="FL173" s="634"/>
      <c r="FM173" s="634"/>
      <c r="FN173" s="634"/>
      <c r="FO173" s="634"/>
      <c r="FP173" s="14"/>
      <c r="FQ173" s="634"/>
      <c r="FR173" s="634"/>
      <c r="HA173" s="14"/>
      <c r="HB173" s="14"/>
      <c r="HC173" s="14"/>
      <c r="HD173" s="14"/>
      <c r="HE173" s="14"/>
      <c r="HF173" s="14"/>
      <c r="HG173" s="14"/>
      <c r="HH173" s="14"/>
    </row>
    <row r="174" spans="164:216">
      <c r="FH174" s="634"/>
      <c r="FI174" s="634"/>
      <c r="FJ174" s="14"/>
      <c r="FK174" s="634"/>
      <c r="FL174" s="634"/>
      <c r="FM174" s="634"/>
      <c r="FN174" s="634"/>
      <c r="FO174" s="634"/>
      <c r="FP174" s="14"/>
      <c r="FQ174" s="634"/>
      <c r="FR174" s="634"/>
      <c r="HA174" s="14"/>
      <c r="HB174" s="14"/>
      <c r="HC174" s="14"/>
      <c r="HD174" s="14"/>
      <c r="HE174" s="14"/>
      <c r="HF174" s="14"/>
      <c r="HG174" s="14"/>
      <c r="HH174" s="14"/>
    </row>
    <row r="175" spans="164:216">
      <c r="FH175" s="634"/>
      <c r="FI175" s="634"/>
      <c r="FJ175" s="14"/>
      <c r="FK175" s="634"/>
      <c r="FL175" s="634"/>
      <c r="FM175" s="634"/>
      <c r="FN175" s="634"/>
      <c r="FO175" s="634"/>
      <c r="FP175" s="14"/>
      <c r="FQ175" s="634"/>
      <c r="FR175" s="634"/>
      <c r="HA175" s="14"/>
      <c r="HB175" s="14"/>
      <c r="HC175" s="14"/>
      <c r="HD175" s="14"/>
      <c r="HE175" s="14"/>
      <c r="HF175" s="14"/>
      <c r="HG175" s="14"/>
      <c r="HH175" s="14"/>
    </row>
    <row r="176" spans="164:216">
      <c r="FH176" s="634"/>
      <c r="FI176" s="634"/>
      <c r="FJ176" s="14"/>
      <c r="FK176" s="634"/>
      <c r="FL176" s="634"/>
      <c r="FM176" s="634"/>
      <c r="FN176" s="634"/>
      <c r="FO176" s="634"/>
      <c r="FP176" s="14"/>
      <c r="FQ176" s="634"/>
      <c r="FR176" s="634"/>
      <c r="HA176" s="14"/>
      <c r="HB176" s="14"/>
      <c r="HC176" s="14"/>
      <c r="HD176" s="14"/>
      <c r="HE176" s="14"/>
      <c r="HF176" s="14"/>
      <c r="HG176" s="14"/>
      <c r="HH176" s="14"/>
    </row>
    <row r="177" spans="1:265">
      <c r="FH177" s="634"/>
      <c r="FI177" s="634"/>
      <c r="FJ177" s="14"/>
      <c r="FK177" s="634"/>
      <c r="FL177" s="634"/>
      <c r="FM177" s="634"/>
      <c r="FN177" s="634"/>
      <c r="FO177" s="634"/>
      <c r="FP177" s="14"/>
      <c r="FQ177" s="634"/>
      <c r="FR177" s="634"/>
      <c r="HA177" s="14"/>
      <c r="HB177" s="14"/>
      <c r="HC177" s="14"/>
      <c r="HD177" s="14"/>
      <c r="HE177" s="14"/>
      <c r="HF177" s="14"/>
      <c r="HG177" s="14"/>
      <c r="HH177" s="14"/>
    </row>
    <row r="178" spans="1:265">
      <c r="FH178" s="634"/>
      <c r="FI178" s="634"/>
      <c r="FJ178" s="14"/>
      <c r="FK178" s="634"/>
      <c r="FL178" s="634"/>
      <c r="FM178" s="634"/>
      <c r="FN178" s="634"/>
      <c r="FO178" s="634"/>
      <c r="FP178" s="14"/>
      <c r="FQ178" s="634"/>
      <c r="FR178" s="634"/>
      <c r="HA178" s="14"/>
      <c r="HB178" s="14"/>
      <c r="HC178" s="14"/>
      <c r="HD178" s="14"/>
      <c r="HE178" s="14"/>
      <c r="HF178" s="14"/>
      <c r="HG178" s="14"/>
      <c r="HH178" s="14"/>
    </row>
    <row r="179" spans="1:265">
      <c r="FH179" s="634"/>
      <c r="FI179" s="634"/>
      <c r="FJ179" s="14"/>
      <c r="FK179" s="634"/>
      <c r="FL179" s="634"/>
      <c r="FM179" s="634"/>
      <c r="FN179" s="634"/>
      <c r="FO179" s="634"/>
      <c r="FP179" s="14"/>
      <c r="FQ179" s="634"/>
      <c r="FR179" s="634"/>
      <c r="HA179" s="14"/>
      <c r="HB179" s="14"/>
      <c r="HC179" s="14"/>
      <c r="HD179" s="14"/>
      <c r="HE179" s="14"/>
      <c r="HF179" s="14"/>
      <c r="HG179" s="14"/>
      <c r="HH179" s="14"/>
    </row>
    <row r="180" spans="1:265">
      <c r="FH180" s="634"/>
      <c r="FI180" s="634"/>
      <c r="FJ180" s="14"/>
      <c r="FK180" s="634"/>
      <c r="FL180" s="634"/>
      <c r="FM180" s="634"/>
      <c r="FN180" s="634"/>
      <c r="FO180" s="634"/>
      <c r="FP180" s="14"/>
      <c r="FQ180" s="634"/>
      <c r="FR180" s="634"/>
      <c r="HA180" s="14"/>
      <c r="HB180" s="14"/>
      <c r="HC180" s="14"/>
      <c r="HD180" s="14"/>
      <c r="HE180" s="14"/>
      <c r="HF180" s="14"/>
      <c r="HG180" s="14"/>
      <c r="HH180" s="14"/>
    </row>
    <row r="181" spans="1:265">
      <c r="FH181" s="634"/>
      <c r="FI181" s="634"/>
      <c r="FJ181" s="14"/>
      <c r="FK181" s="634"/>
      <c r="FL181" s="634"/>
      <c r="FM181" s="634"/>
      <c r="FN181" s="634"/>
      <c r="FO181" s="634"/>
      <c r="FP181" s="14"/>
      <c r="FQ181" s="634"/>
      <c r="FR181" s="634"/>
      <c r="HA181" s="14"/>
      <c r="HB181" s="14"/>
      <c r="HC181" s="14"/>
      <c r="HD181" s="14"/>
      <c r="HE181" s="14"/>
      <c r="HF181" s="14"/>
      <c r="HG181" s="14"/>
      <c r="HH181" s="14"/>
    </row>
    <row r="182" spans="1:265">
      <c r="FH182" s="634"/>
      <c r="FI182" s="634"/>
      <c r="FJ182" s="14"/>
      <c r="FK182" s="634"/>
      <c r="FL182" s="634"/>
      <c r="FM182" s="634"/>
      <c r="FN182" s="634"/>
      <c r="FO182" s="634"/>
      <c r="FP182" s="14"/>
      <c r="FQ182" s="634"/>
      <c r="FR182" s="634"/>
      <c r="HA182" s="14"/>
      <c r="HB182" s="14"/>
      <c r="HC182" s="14"/>
      <c r="HD182" s="14"/>
      <c r="HE182" s="14"/>
      <c r="HF182" s="14"/>
      <c r="HG182" s="14"/>
      <c r="HH182" s="14"/>
    </row>
    <row r="183" spans="1:265">
      <c r="FH183" s="634"/>
      <c r="FI183" s="634"/>
      <c r="FJ183" s="14"/>
      <c r="FK183" s="634"/>
      <c r="FL183" s="634"/>
      <c r="FM183" s="634"/>
      <c r="FN183" s="634"/>
      <c r="FO183" s="634"/>
      <c r="FP183" s="14"/>
      <c r="FQ183" s="634"/>
      <c r="FR183" s="634"/>
      <c r="HA183" s="14"/>
      <c r="HB183" s="14"/>
      <c r="HC183" s="14"/>
      <c r="HD183" s="14"/>
      <c r="HE183" s="14"/>
      <c r="HF183" s="14"/>
      <c r="HG183" s="14"/>
      <c r="HH183" s="14"/>
    </row>
    <row r="184" spans="1:265">
      <c r="FH184" s="634"/>
      <c r="FI184" s="634"/>
      <c r="FJ184" s="14"/>
      <c r="FK184" s="634"/>
      <c r="FL184" s="634"/>
      <c r="FM184" s="634"/>
      <c r="FN184" s="634"/>
      <c r="FO184" s="634"/>
      <c r="FP184" s="14"/>
      <c r="FQ184" s="634"/>
      <c r="FR184" s="634"/>
      <c r="HA184" s="14"/>
      <c r="HB184" s="14"/>
      <c r="HC184" s="14"/>
      <c r="HD184" s="14"/>
      <c r="HE184" s="14"/>
      <c r="HF184" s="14"/>
      <c r="HG184" s="14"/>
      <c r="HH184" s="14"/>
    </row>
    <row r="185" spans="1:265">
      <c r="FH185" s="634"/>
      <c r="FI185" s="634"/>
      <c r="FJ185" s="14"/>
      <c r="FK185" s="634"/>
      <c r="FL185" s="634"/>
      <c r="FM185" s="634"/>
      <c r="FN185" s="634"/>
      <c r="FO185" s="634"/>
      <c r="FP185" s="14"/>
      <c r="FQ185" s="634"/>
      <c r="FR185" s="634"/>
      <c r="HA185" s="14"/>
      <c r="HB185" s="14"/>
      <c r="HC185" s="14"/>
      <c r="HD185" s="14"/>
      <c r="HE185" s="14"/>
      <c r="HF185" s="14"/>
      <c r="HG185" s="14"/>
      <c r="HH185" s="14"/>
    </row>
    <row r="186" spans="1:265">
      <c r="FH186" s="634"/>
      <c r="FI186" s="634"/>
      <c r="FJ186" s="14"/>
      <c r="FK186" s="634"/>
      <c r="FL186" s="634"/>
      <c r="FM186" s="634"/>
      <c r="FN186" s="634"/>
      <c r="FO186" s="634"/>
      <c r="FP186" s="14"/>
      <c r="FQ186" s="634"/>
      <c r="FR186" s="634"/>
      <c r="HA186" s="14"/>
      <c r="HB186" s="14"/>
      <c r="HC186" s="14"/>
      <c r="HD186" s="14"/>
      <c r="HE186" s="14"/>
      <c r="HF186" s="14"/>
      <c r="HG186" s="14"/>
      <c r="HH186" s="14"/>
    </row>
    <row r="187" spans="1:265">
      <c r="FH187" s="634"/>
      <c r="FI187" s="634"/>
      <c r="FJ187" s="14"/>
      <c r="FK187" s="634"/>
      <c r="FL187" s="634"/>
      <c r="FM187" s="634"/>
      <c r="FN187" s="634"/>
      <c r="FO187" s="634"/>
      <c r="FP187" s="14"/>
      <c r="FQ187" s="634"/>
      <c r="FR187" s="634"/>
      <c r="HA187" s="14"/>
      <c r="HB187" s="14"/>
      <c r="HC187" s="14"/>
      <c r="HD187" s="14"/>
      <c r="HE187" s="14"/>
      <c r="HF187" s="14"/>
      <c r="HG187" s="14"/>
      <c r="HH187" s="14"/>
    </row>
    <row r="188" spans="1:265">
      <c r="FH188" s="634"/>
      <c r="FI188" s="634"/>
      <c r="FJ188" s="14"/>
      <c r="FK188" s="634"/>
      <c r="FL188" s="634"/>
      <c r="FM188" s="634"/>
      <c r="FN188" s="634"/>
      <c r="FO188" s="634"/>
      <c r="FP188" s="14"/>
      <c r="FQ188" s="634"/>
      <c r="FR188" s="634"/>
      <c r="HA188" s="14"/>
      <c r="HB188" s="14"/>
      <c r="HC188" s="14"/>
      <c r="HD188" s="14"/>
      <c r="HE188" s="14"/>
      <c r="HF188" s="14"/>
      <c r="HG188" s="14"/>
      <c r="HH188" s="14"/>
    </row>
    <row r="189" spans="1:265" s="45" customFormat="1">
      <c r="A189" s="368"/>
      <c r="B189" s="14"/>
      <c r="C189" s="14"/>
      <c r="D189" s="14"/>
      <c r="E189" s="14"/>
      <c r="F189" s="14"/>
      <c r="G189" s="14"/>
      <c r="H189" s="14"/>
      <c r="I189" s="14"/>
      <c r="J189" s="14"/>
      <c r="K189" s="339"/>
      <c r="L189" s="209"/>
      <c r="M189" s="209"/>
      <c r="N189" s="209"/>
      <c r="O189" s="14"/>
      <c r="P189" s="14"/>
      <c r="Q189" s="14"/>
      <c r="R189" s="14"/>
      <c r="S189" s="14"/>
      <c r="T189" s="14"/>
      <c r="U189" s="14"/>
      <c r="V189" s="14"/>
      <c r="W189" s="14"/>
      <c r="X189" s="14"/>
      <c r="Y189" s="14"/>
      <c r="Z189" s="14"/>
      <c r="AA189" s="14"/>
      <c r="AB189" s="14"/>
      <c r="AC189" s="14"/>
      <c r="AD189" s="14"/>
      <c r="AE189" s="14"/>
      <c r="AF189" s="14"/>
      <c r="AG189" s="14"/>
      <c r="AH189" s="14"/>
      <c r="AI189" s="14"/>
      <c r="AJ189" s="14"/>
      <c r="AK189" s="14"/>
      <c r="AL189" s="14"/>
      <c r="AM189" s="14"/>
      <c r="AN189" s="14"/>
      <c r="AO189" s="14"/>
      <c r="AP189" s="14"/>
      <c r="AQ189" s="14"/>
      <c r="AR189" s="153"/>
      <c r="AS189" s="32"/>
      <c r="AT189" s="14"/>
      <c r="AU189" s="14"/>
      <c r="AV189" s="14"/>
      <c r="AW189" s="14"/>
      <c r="AX189" s="14"/>
      <c r="AY189" s="190"/>
      <c r="AZ189" s="190"/>
      <c r="BA189" s="190"/>
      <c r="BB189" s="190"/>
      <c r="BC189" s="190"/>
      <c r="BD189" s="190"/>
      <c r="BE189" s="190"/>
      <c r="BF189" s="190"/>
      <c r="BG189" s="190"/>
      <c r="BH189" s="190"/>
      <c r="BI189" s="190"/>
      <c r="BJ189" s="190"/>
      <c r="BK189" s="190"/>
      <c r="BL189" s="190"/>
      <c r="BM189" s="190"/>
      <c r="BN189" s="190"/>
      <c r="BO189" s="190"/>
      <c r="BP189" s="190"/>
      <c r="BQ189" s="190"/>
      <c r="BR189" s="190"/>
      <c r="BS189" s="190"/>
      <c r="BT189" s="191"/>
      <c r="BU189" s="190"/>
      <c r="BV189" s="236"/>
      <c r="BW189" s="236"/>
      <c r="BX189" s="190"/>
      <c r="BY189" s="190"/>
      <c r="BZ189" s="190"/>
      <c r="CA189" s="190"/>
      <c r="CB189" s="190"/>
      <c r="CC189" s="679"/>
      <c r="CD189" s="14"/>
      <c r="CE189" s="14"/>
      <c r="CF189" s="14"/>
      <c r="CG189" s="14"/>
      <c r="CH189" s="243"/>
      <c r="CI189" s="243"/>
      <c r="CJ189" s="14"/>
      <c r="CK189" s="14"/>
      <c r="CL189" s="14"/>
      <c r="CM189" s="14"/>
      <c r="CN189" s="14"/>
      <c r="CO189" s="14"/>
      <c r="CP189" s="14"/>
      <c r="CQ189" s="14"/>
      <c r="CR189" s="14"/>
      <c r="CS189" s="14"/>
      <c r="CT189" s="14"/>
      <c r="CU189" s="14"/>
      <c r="CV189" s="14"/>
      <c r="CW189" s="14"/>
      <c r="CX189" s="366"/>
      <c r="CY189" s="14"/>
      <c r="CZ189" s="14"/>
      <c r="DA189" s="14"/>
      <c r="DB189" s="14"/>
      <c r="DC189" s="14"/>
      <c r="DD189" s="14"/>
      <c r="DE189" s="14"/>
      <c r="DF189" s="14"/>
      <c r="DG189" s="14"/>
      <c r="DH189" s="14"/>
      <c r="DI189" s="14"/>
      <c r="DJ189" s="14"/>
      <c r="DK189" s="14"/>
      <c r="DL189" s="14"/>
      <c r="DM189" s="14"/>
      <c r="DN189" s="14"/>
      <c r="DO189" s="14"/>
      <c r="DP189" s="14"/>
      <c r="DQ189" s="14"/>
      <c r="DR189" s="14"/>
      <c r="DS189" s="14"/>
      <c r="DT189" s="634"/>
      <c r="DU189" s="634"/>
      <c r="DV189" s="33"/>
      <c r="DW189" s="14"/>
      <c r="DX189" s="634"/>
      <c r="DY189" s="14"/>
      <c r="DZ189" s="634"/>
      <c r="EA189" s="14"/>
      <c r="EB189" s="14"/>
      <c r="EC189" s="14"/>
      <c r="ED189" s="14"/>
      <c r="EE189" s="14"/>
      <c r="EF189" s="634"/>
      <c r="EG189" s="634"/>
      <c r="EH189" s="14"/>
      <c r="EI189" s="634"/>
      <c r="EJ189" s="634"/>
      <c r="EK189" s="634"/>
      <c r="EL189" s="14"/>
      <c r="EM189" s="634"/>
      <c r="EN189" s="634"/>
      <c r="EO189" s="14"/>
      <c r="EP189" s="634"/>
      <c r="EQ189" s="634"/>
      <c r="ER189" s="33"/>
      <c r="ES189" s="634"/>
      <c r="ET189" s="634"/>
      <c r="EU189" s="14"/>
      <c r="EV189" s="634"/>
      <c r="EW189" s="634"/>
      <c r="EX189" s="14"/>
      <c r="EY189" s="634"/>
      <c r="EZ189" s="634"/>
      <c r="FA189" s="14"/>
      <c r="FB189" s="634"/>
      <c r="FC189" s="634"/>
      <c r="FD189" s="14"/>
      <c r="FE189" s="634"/>
      <c r="FF189" s="634"/>
      <c r="FG189" s="14"/>
      <c r="FH189" s="634"/>
      <c r="FI189" s="634"/>
      <c r="FJ189" s="14"/>
      <c r="FK189" s="634"/>
      <c r="FL189" s="634"/>
      <c r="FM189" s="634"/>
      <c r="FN189" s="634"/>
      <c r="FO189" s="634"/>
      <c r="FP189" s="14"/>
      <c r="FQ189" s="634"/>
      <c r="FR189" s="634"/>
      <c r="FS189" s="668"/>
      <c r="FT189" s="668"/>
      <c r="FU189" s="668"/>
      <c r="FV189" s="668"/>
      <c r="FZ189" s="659"/>
      <c r="GA189" s="659"/>
      <c r="GC189" s="190"/>
      <c r="GD189" s="726"/>
      <c r="GE189" s="14"/>
      <c r="GF189" s="14"/>
      <c r="GG189" s="14"/>
      <c r="GH189" s="14"/>
      <c r="GI189" s="14"/>
      <c r="GJ189" s="14"/>
      <c r="GK189" s="14"/>
      <c r="GL189" s="14"/>
      <c r="GM189" s="14"/>
      <c r="GN189" s="14"/>
      <c r="GO189" s="14"/>
      <c r="GP189" s="14"/>
      <c r="GQ189" s="14"/>
      <c r="GR189" s="14"/>
      <c r="GS189" s="14"/>
      <c r="GT189" s="14"/>
      <c r="GU189" s="14"/>
      <c r="GV189" s="14"/>
      <c r="GW189" s="14"/>
      <c r="GX189" s="14"/>
      <c r="GY189" s="14"/>
      <c r="GZ189" s="14"/>
      <c r="HA189" s="14"/>
      <c r="HB189" s="14"/>
      <c r="HC189" s="14"/>
      <c r="HD189" s="14"/>
      <c r="HE189" s="14"/>
      <c r="HF189" s="14"/>
      <c r="HG189" s="14"/>
      <c r="HH189" s="14"/>
      <c r="HI189" s="14"/>
      <c r="HJ189" s="14"/>
      <c r="HK189" s="14"/>
      <c r="HL189" s="14"/>
      <c r="HM189" s="14"/>
      <c r="HN189" s="14"/>
      <c r="HO189" s="14"/>
      <c r="HP189" s="14"/>
      <c r="HQ189" s="14"/>
      <c r="HR189" s="14"/>
      <c r="HS189" s="14"/>
      <c r="HT189" s="14"/>
      <c r="HU189" s="14"/>
      <c r="HV189" s="14"/>
      <c r="HW189" s="14"/>
      <c r="HX189" s="14"/>
      <c r="HY189" s="14"/>
      <c r="HZ189" s="14"/>
      <c r="IA189" s="14"/>
      <c r="IB189" s="14"/>
      <c r="IC189" s="14"/>
      <c r="ID189" s="14"/>
      <c r="IE189" s="14"/>
      <c r="IF189" s="14"/>
      <c r="IG189" s="14"/>
      <c r="IH189" s="14"/>
      <c r="II189" s="14"/>
      <c r="IJ189" s="14"/>
      <c r="IK189" s="14"/>
      <c r="IL189" s="14"/>
      <c r="IM189" s="14"/>
      <c r="IN189" s="14"/>
      <c r="IO189" s="14"/>
      <c r="IP189" s="14"/>
      <c r="IQ189" s="14"/>
      <c r="IR189" s="14"/>
      <c r="IS189" s="14"/>
      <c r="IT189" s="14"/>
      <c r="IU189" s="14"/>
      <c r="IV189" s="14"/>
      <c r="IW189" s="14"/>
      <c r="IX189" s="14"/>
      <c r="IY189" s="14"/>
      <c r="IZ189" s="14"/>
      <c r="JA189" s="14"/>
      <c r="JB189" s="14"/>
      <c r="JC189" s="14"/>
      <c r="JD189" s="14"/>
      <c r="JE189" s="14"/>
    </row>
    <row r="190" spans="1:265" s="45" customFormat="1">
      <c r="A190" s="368"/>
      <c r="B190" s="14"/>
      <c r="C190" s="14"/>
      <c r="D190" s="14"/>
      <c r="E190" s="14"/>
      <c r="F190" s="14"/>
      <c r="G190" s="14"/>
      <c r="H190" s="14"/>
      <c r="I190" s="14"/>
      <c r="J190" s="14"/>
      <c r="K190" s="339"/>
      <c r="L190" s="209"/>
      <c r="M190" s="209"/>
      <c r="N190" s="209"/>
      <c r="O190" s="14"/>
      <c r="P190" s="14"/>
      <c r="Q190" s="14"/>
      <c r="R190" s="14"/>
      <c r="S190" s="14"/>
      <c r="T190" s="14"/>
      <c r="U190" s="14"/>
      <c r="V190" s="14"/>
      <c r="W190" s="14"/>
      <c r="X190" s="14"/>
      <c r="Y190" s="14"/>
      <c r="Z190" s="14"/>
      <c r="AA190" s="14"/>
      <c r="AB190" s="14"/>
      <c r="AC190" s="14"/>
      <c r="AD190" s="14"/>
      <c r="AE190" s="14"/>
      <c r="AF190" s="14"/>
      <c r="AG190" s="14"/>
      <c r="AH190" s="14"/>
      <c r="AI190" s="14"/>
      <c r="AJ190" s="14"/>
      <c r="AK190" s="14"/>
      <c r="AL190" s="14"/>
      <c r="AM190" s="14"/>
      <c r="AN190" s="14"/>
      <c r="AO190" s="14"/>
      <c r="AP190" s="14"/>
      <c r="AQ190" s="14"/>
      <c r="AR190" s="153"/>
      <c r="AS190" s="32"/>
      <c r="AT190" s="14"/>
      <c r="AU190" s="14"/>
      <c r="AV190" s="14"/>
      <c r="AW190" s="14"/>
      <c r="AX190" s="14"/>
      <c r="AY190" s="190"/>
      <c r="AZ190" s="190"/>
      <c r="BA190" s="190"/>
      <c r="BB190" s="190"/>
      <c r="BC190" s="190"/>
      <c r="BD190" s="190"/>
      <c r="BE190" s="190"/>
      <c r="BF190" s="190"/>
      <c r="BG190" s="190"/>
      <c r="BH190" s="190"/>
      <c r="BI190" s="190"/>
      <c r="BJ190" s="190"/>
      <c r="BK190" s="190"/>
      <c r="BL190" s="190"/>
      <c r="BM190" s="190"/>
      <c r="BN190" s="190"/>
      <c r="BO190" s="190"/>
      <c r="BP190" s="190"/>
      <c r="BQ190" s="190"/>
      <c r="BR190" s="190"/>
      <c r="BS190" s="190"/>
      <c r="BT190" s="191"/>
      <c r="BU190" s="190"/>
      <c r="BV190" s="236"/>
      <c r="BW190" s="236"/>
      <c r="BX190" s="190"/>
      <c r="BY190" s="190"/>
      <c r="BZ190" s="190"/>
      <c r="CA190" s="190"/>
      <c r="CB190" s="190"/>
      <c r="CC190" s="679"/>
      <c r="CD190" s="14"/>
      <c r="CE190" s="14"/>
      <c r="CF190" s="14"/>
      <c r="CG190" s="14"/>
      <c r="CH190" s="243"/>
      <c r="CI190" s="243"/>
      <c r="CJ190" s="14"/>
      <c r="CK190" s="14"/>
      <c r="CL190" s="14"/>
      <c r="CM190" s="14"/>
      <c r="CN190" s="14"/>
      <c r="CO190" s="14"/>
      <c r="CP190" s="14"/>
      <c r="CQ190" s="14"/>
      <c r="CR190" s="14"/>
      <c r="CS190" s="14"/>
      <c r="CT190" s="14"/>
      <c r="CU190" s="14"/>
      <c r="CV190" s="14"/>
      <c r="CW190" s="14"/>
      <c r="CX190" s="366"/>
      <c r="CY190" s="14"/>
      <c r="CZ190" s="14"/>
      <c r="DA190" s="14"/>
      <c r="DB190" s="14"/>
      <c r="DC190" s="14"/>
      <c r="DD190" s="14"/>
      <c r="DE190" s="14"/>
      <c r="DF190" s="14"/>
      <c r="DG190" s="14"/>
      <c r="DH190" s="14"/>
      <c r="DI190" s="14"/>
      <c r="DJ190" s="14"/>
      <c r="DK190" s="14"/>
      <c r="DL190" s="14"/>
      <c r="DM190" s="14"/>
      <c r="DN190" s="14"/>
      <c r="DO190" s="14"/>
      <c r="DP190" s="14"/>
      <c r="DQ190" s="14"/>
      <c r="DR190" s="14"/>
      <c r="DS190" s="14"/>
      <c r="DT190" s="634"/>
      <c r="DU190" s="634"/>
      <c r="DV190" s="33"/>
      <c r="DW190" s="14"/>
      <c r="DX190" s="634"/>
      <c r="DY190" s="14"/>
      <c r="DZ190" s="634"/>
      <c r="EA190" s="14"/>
      <c r="EB190" s="14"/>
      <c r="EC190" s="14"/>
      <c r="ED190" s="14"/>
      <c r="EE190" s="14"/>
      <c r="EF190" s="634"/>
      <c r="EG190" s="634"/>
      <c r="EH190" s="14"/>
      <c r="EI190" s="634"/>
      <c r="EJ190" s="634"/>
      <c r="EK190" s="634"/>
      <c r="EL190" s="14"/>
      <c r="EM190" s="634"/>
      <c r="EN190" s="634"/>
      <c r="EO190" s="14"/>
      <c r="EP190" s="634"/>
      <c r="EQ190" s="634"/>
      <c r="ER190" s="33"/>
      <c r="ES190" s="634"/>
      <c r="ET190" s="634"/>
      <c r="EU190" s="14"/>
      <c r="EV190" s="634"/>
      <c r="EW190" s="634"/>
      <c r="EX190" s="14"/>
      <c r="EY190" s="634"/>
      <c r="EZ190" s="634"/>
      <c r="FA190" s="14"/>
      <c r="FB190" s="634"/>
      <c r="FC190" s="634"/>
      <c r="FD190" s="14"/>
      <c r="FE190" s="634"/>
      <c r="FF190" s="634"/>
      <c r="FG190" s="14"/>
      <c r="FH190" s="634"/>
      <c r="FI190" s="634"/>
      <c r="FJ190" s="14"/>
      <c r="FK190" s="634"/>
      <c r="FL190" s="634"/>
      <c r="FM190" s="634"/>
      <c r="FN190" s="634"/>
      <c r="FO190" s="634"/>
      <c r="FP190" s="14"/>
      <c r="FQ190" s="634"/>
      <c r="FR190" s="634"/>
      <c r="FS190" s="668"/>
      <c r="FT190" s="668"/>
      <c r="FU190" s="668"/>
      <c r="FV190" s="668"/>
      <c r="FZ190" s="659"/>
      <c r="GA190" s="659"/>
      <c r="GC190" s="190"/>
      <c r="GD190" s="726"/>
      <c r="GE190" s="14"/>
      <c r="GF190" s="14"/>
      <c r="GG190" s="14"/>
      <c r="GH190" s="14"/>
      <c r="GI190" s="14"/>
      <c r="GJ190" s="14"/>
      <c r="GK190" s="14"/>
      <c r="GL190" s="14"/>
      <c r="GM190" s="14"/>
      <c r="GN190" s="14"/>
      <c r="GO190" s="14"/>
      <c r="GP190" s="14"/>
      <c r="GQ190" s="14"/>
      <c r="GR190" s="14"/>
      <c r="GS190" s="14"/>
      <c r="GT190" s="14"/>
      <c r="GU190" s="14"/>
      <c r="GV190" s="14"/>
      <c r="GW190" s="14"/>
      <c r="GX190" s="14"/>
      <c r="GY190" s="14"/>
      <c r="GZ190" s="14"/>
      <c r="HA190" s="14"/>
      <c r="HB190" s="14"/>
      <c r="HC190" s="14"/>
      <c r="HD190" s="14"/>
      <c r="HE190" s="14"/>
      <c r="HF190" s="14"/>
      <c r="HG190" s="14"/>
      <c r="HH190" s="14"/>
      <c r="HI190" s="14"/>
      <c r="HJ190" s="14"/>
      <c r="HK190" s="14"/>
      <c r="HL190" s="14"/>
      <c r="HM190" s="14"/>
      <c r="HN190" s="14"/>
      <c r="HO190" s="14"/>
      <c r="HP190" s="14"/>
      <c r="HQ190" s="14"/>
      <c r="HR190" s="14"/>
      <c r="HS190" s="14"/>
      <c r="HT190" s="14"/>
      <c r="HU190" s="14"/>
      <c r="HV190" s="14"/>
      <c r="HW190" s="14"/>
      <c r="HX190" s="14"/>
      <c r="HY190" s="14"/>
      <c r="HZ190" s="14"/>
      <c r="IA190" s="14"/>
      <c r="IB190" s="14"/>
      <c r="IC190" s="14"/>
      <c r="ID190" s="14"/>
      <c r="IE190" s="14"/>
      <c r="IF190" s="14"/>
      <c r="IG190" s="14"/>
      <c r="IH190" s="14"/>
      <c r="II190" s="14"/>
      <c r="IJ190" s="14"/>
      <c r="IK190" s="14"/>
      <c r="IL190" s="14"/>
      <c r="IM190" s="14"/>
      <c r="IN190" s="14"/>
      <c r="IO190" s="14"/>
      <c r="IP190" s="14"/>
      <c r="IQ190" s="14"/>
      <c r="IR190" s="14"/>
      <c r="IS190" s="14"/>
      <c r="IT190" s="14"/>
      <c r="IU190" s="14"/>
      <c r="IV190" s="14"/>
      <c r="IW190" s="14"/>
      <c r="IX190" s="14"/>
      <c r="IY190" s="14"/>
      <c r="IZ190" s="14"/>
      <c r="JA190" s="14"/>
      <c r="JB190" s="14"/>
      <c r="JC190" s="14"/>
      <c r="JD190" s="14"/>
      <c r="JE190" s="14"/>
    </row>
    <row r="191" spans="1:265" s="45" customFormat="1">
      <c r="A191" s="368"/>
      <c r="B191" s="14"/>
      <c r="C191" s="14"/>
      <c r="D191" s="14"/>
      <c r="E191" s="14"/>
      <c r="F191" s="14"/>
      <c r="G191" s="14"/>
      <c r="H191" s="14"/>
      <c r="I191" s="14"/>
      <c r="J191" s="14"/>
      <c r="K191" s="339"/>
      <c r="L191" s="209"/>
      <c r="M191" s="209"/>
      <c r="N191" s="209"/>
      <c r="O191" s="14"/>
      <c r="P191" s="14"/>
      <c r="Q191" s="14"/>
      <c r="R191" s="14"/>
      <c r="S191" s="14"/>
      <c r="T191" s="14"/>
      <c r="U191" s="14"/>
      <c r="V191" s="14"/>
      <c r="W191" s="14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  <c r="AH191" s="14"/>
      <c r="AI191" s="14"/>
      <c r="AJ191" s="14"/>
      <c r="AK191" s="14"/>
      <c r="AL191" s="14"/>
      <c r="AM191" s="14"/>
      <c r="AN191" s="14"/>
      <c r="AO191" s="14"/>
      <c r="AP191" s="14"/>
      <c r="AQ191" s="14"/>
      <c r="AR191" s="153"/>
      <c r="AS191" s="32"/>
      <c r="AT191" s="14"/>
      <c r="AU191" s="14"/>
      <c r="AV191" s="14"/>
      <c r="AW191" s="14"/>
      <c r="AX191" s="14"/>
      <c r="AY191" s="190"/>
      <c r="AZ191" s="190"/>
      <c r="BA191" s="190"/>
      <c r="BB191" s="190"/>
      <c r="BC191" s="190"/>
      <c r="BD191" s="190"/>
      <c r="BE191" s="190"/>
      <c r="BF191" s="190"/>
      <c r="BG191" s="190"/>
      <c r="BH191" s="190"/>
      <c r="BI191" s="190"/>
      <c r="BJ191" s="190"/>
      <c r="BK191" s="190"/>
      <c r="BL191" s="190"/>
      <c r="BM191" s="190"/>
      <c r="BN191" s="190"/>
      <c r="BO191" s="190"/>
      <c r="BP191" s="190"/>
      <c r="BQ191" s="190"/>
      <c r="BR191" s="190"/>
      <c r="BS191" s="190"/>
      <c r="BT191" s="191"/>
      <c r="BU191" s="190"/>
      <c r="BV191" s="236"/>
      <c r="BW191" s="236"/>
      <c r="BX191" s="190"/>
      <c r="BY191" s="190"/>
      <c r="BZ191" s="190"/>
      <c r="CA191" s="190"/>
      <c r="CB191" s="190"/>
      <c r="CC191" s="679"/>
      <c r="CD191" s="14"/>
      <c r="CE191" s="14"/>
      <c r="CF191" s="14"/>
      <c r="CG191" s="14"/>
      <c r="CH191" s="243"/>
      <c r="CI191" s="243"/>
      <c r="CJ191" s="14"/>
      <c r="CK191" s="14"/>
      <c r="CL191" s="14"/>
      <c r="CM191" s="14"/>
      <c r="CN191" s="14"/>
      <c r="CO191" s="14"/>
      <c r="CP191" s="14"/>
      <c r="CQ191" s="14"/>
      <c r="CR191" s="14"/>
      <c r="CS191" s="14"/>
      <c r="CT191" s="14"/>
      <c r="CU191" s="14"/>
      <c r="CV191" s="14"/>
      <c r="CW191" s="14"/>
      <c r="CX191" s="366"/>
      <c r="CY191" s="14"/>
      <c r="CZ191" s="14"/>
      <c r="DA191" s="14"/>
      <c r="DB191" s="14"/>
      <c r="DC191" s="14"/>
      <c r="DD191" s="14"/>
      <c r="DE191" s="14"/>
      <c r="DF191" s="14"/>
      <c r="DG191" s="14"/>
      <c r="DH191" s="14"/>
      <c r="DI191" s="14"/>
      <c r="DJ191" s="14"/>
      <c r="DK191" s="14"/>
      <c r="DL191" s="14"/>
      <c r="DM191" s="14"/>
      <c r="DN191" s="14"/>
      <c r="DO191" s="14"/>
      <c r="DP191" s="14"/>
      <c r="DQ191" s="14"/>
      <c r="DR191" s="14"/>
      <c r="DS191" s="14"/>
      <c r="DT191" s="634"/>
      <c r="DU191" s="634"/>
      <c r="DV191" s="33"/>
      <c r="DW191" s="14"/>
      <c r="DX191" s="634"/>
      <c r="DY191" s="14"/>
      <c r="DZ191" s="634"/>
      <c r="EA191" s="14"/>
      <c r="EB191" s="14"/>
      <c r="EC191" s="14"/>
      <c r="ED191" s="14"/>
      <c r="EE191" s="14"/>
      <c r="EF191" s="634"/>
      <c r="EG191" s="634"/>
      <c r="EH191" s="14"/>
      <c r="EI191" s="634"/>
      <c r="EJ191" s="634"/>
      <c r="EK191" s="634"/>
      <c r="EL191" s="14"/>
      <c r="EM191" s="634"/>
      <c r="EN191" s="634"/>
      <c r="EO191" s="14"/>
      <c r="EP191" s="634"/>
      <c r="EQ191" s="634"/>
      <c r="ER191" s="33"/>
      <c r="ES191" s="634"/>
      <c r="ET191" s="634"/>
      <c r="EU191" s="14"/>
      <c r="EV191" s="634"/>
      <c r="EW191" s="634"/>
      <c r="EX191" s="14"/>
      <c r="EY191" s="634"/>
      <c r="EZ191" s="634"/>
      <c r="FA191" s="14"/>
      <c r="FB191" s="634"/>
      <c r="FC191" s="634"/>
      <c r="FD191" s="14"/>
      <c r="FE191" s="634"/>
      <c r="FF191" s="634"/>
      <c r="FG191" s="14"/>
      <c r="FH191" s="634"/>
      <c r="FI191" s="634"/>
      <c r="FJ191" s="14"/>
      <c r="FK191" s="634"/>
      <c r="FL191" s="634"/>
      <c r="FM191" s="634"/>
      <c r="FN191" s="634"/>
      <c r="FO191" s="634"/>
      <c r="FP191" s="14"/>
      <c r="FQ191" s="634"/>
      <c r="FR191" s="634"/>
      <c r="FS191" s="668"/>
      <c r="FT191" s="668"/>
      <c r="FU191" s="668"/>
      <c r="FV191" s="668"/>
      <c r="FZ191" s="659"/>
      <c r="GA191" s="659"/>
      <c r="GC191" s="190"/>
      <c r="GD191" s="726"/>
      <c r="GE191" s="14"/>
      <c r="GF191" s="14"/>
      <c r="GG191" s="14"/>
      <c r="GH191" s="14"/>
      <c r="GI191" s="14"/>
      <c r="GJ191" s="14"/>
      <c r="GK191" s="14"/>
      <c r="GL191" s="14"/>
      <c r="GM191" s="14"/>
      <c r="GN191" s="14"/>
      <c r="GO191" s="14"/>
      <c r="GP191" s="14"/>
      <c r="GQ191" s="14"/>
      <c r="GR191" s="14"/>
      <c r="GS191" s="14"/>
      <c r="GT191" s="14"/>
      <c r="GU191" s="14"/>
      <c r="GV191" s="14"/>
      <c r="GW191" s="14"/>
      <c r="GX191" s="14"/>
      <c r="GY191" s="14"/>
      <c r="GZ191" s="14"/>
      <c r="HA191" s="14"/>
      <c r="HB191" s="14"/>
      <c r="HC191" s="14"/>
      <c r="HD191" s="14"/>
      <c r="HE191" s="14"/>
      <c r="HF191" s="14"/>
      <c r="HG191" s="14"/>
      <c r="HH191" s="14"/>
      <c r="HI191" s="14"/>
      <c r="HJ191" s="14"/>
      <c r="HK191" s="14"/>
      <c r="HL191" s="14"/>
      <c r="HM191" s="14"/>
      <c r="HN191" s="14"/>
      <c r="HO191" s="14"/>
      <c r="HP191" s="14"/>
      <c r="HQ191" s="14"/>
      <c r="HR191" s="14"/>
      <c r="HS191" s="14"/>
      <c r="HT191" s="14"/>
      <c r="HU191" s="14"/>
      <c r="HV191" s="14"/>
      <c r="HW191" s="14"/>
      <c r="HX191" s="14"/>
      <c r="HY191" s="14"/>
      <c r="HZ191" s="14"/>
      <c r="IA191" s="14"/>
      <c r="IB191" s="14"/>
      <c r="IC191" s="14"/>
      <c r="ID191" s="14"/>
      <c r="IE191" s="14"/>
      <c r="IF191" s="14"/>
      <c r="IG191" s="14"/>
      <c r="IH191" s="14"/>
      <c r="II191" s="14"/>
      <c r="IJ191" s="14"/>
      <c r="IK191" s="14"/>
      <c r="IL191" s="14"/>
      <c r="IM191" s="14"/>
      <c r="IN191" s="14"/>
      <c r="IO191" s="14"/>
      <c r="IP191" s="14"/>
      <c r="IQ191" s="14"/>
      <c r="IR191" s="14"/>
      <c r="IS191" s="14"/>
      <c r="IT191" s="14"/>
      <c r="IU191" s="14"/>
      <c r="IV191" s="14"/>
      <c r="IW191" s="14"/>
      <c r="IX191" s="14"/>
      <c r="IY191" s="14"/>
      <c r="IZ191" s="14"/>
      <c r="JA191" s="14"/>
      <c r="JB191" s="14"/>
      <c r="JC191" s="14"/>
      <c r="JD191" s="14"/>
      <c r="JE191" s="14"/>
    </row>
    <row r="192" spans="1:265" s="45" customFormat="1">
      <c r="A192" s="368"/>
      <c r="B192" s="14"/>
      <c r="C192" s="14"/>
      <c r="D192" s="14"/>
      <c r="E192" s="14"/>
      <c r="F192" s="14"/>
      <c r="G192" s="14"/>
      <c r="H192" s="14"/>
      <c r="I192" s="14"/>
      <c r="J192" s="14"/>
      <c r="K192" s="339"/>
      <c r="L192" s="209"/>
      <c r="M192" s="209"/>
      <c r="N192" s="209"/>
      <c r="O192" s="14"/>
      <c r="P192" s="14"/>
      <c r="Q192" s="14"/>
      <c r="R192" s="14"/>
      <c r="S192" s="14"/>
      <c r="T192" s="14"/>
      <c r="U192" s="14"/>
      <c r="V192" s="14"/>
      <c r="W192" s="14"/>
      <c r="X192" s="14"/>
      <c r="Y192" s="14"/>
      <c r="Z192" s="14"/>
      <c r="AA192" s="14"/>
      <c r="AB192" s="14"/>
      <c r="AC192" s="14"/>
      <c r="AD192" s="14"/>
      <c r="AE192" s="14"/>
      <c r="AF192" s="14"/>
      <c r="AG192" s="14"/>
      <c r="AH192" s="14"/>
      <c r="AI192" s="14"/>
      <c r="AJ192" s="14"/>
      <c r="AK192" s="14"/>
      <c r="AL192" s="14"/>
      <c r="AM192" s="14"/>
      <c r="AN192" s="14"/>
      <c r="AO192" s="14"/>
      <c r="AP192" s="14"/>
      <c r="AQ192" s="14"/>
      <c r="AR192" s="153"/>
      <c r="AS192" s="32"/>
      <c r="AT192" s="14"/>
      <c r="AU192" s="14"/>
      <c r="AV192" s="14"/>
      <c r="AW192" s="14"/>
      <c r="AX192" s="14"/>
      <c r="AY192" s="190"/>
      <c r="AZ192" s="190"/>
      <c r="BA192" s="190"/>
      <c r="BB192" s="190"/>
      <c r="BC192" s="190"/>
      <c r="BD192" s="190"/>
      <c r="BE192" s="190"/>
      <c r="BF192" s="190"/>
      <c r="BG192" s="190"/>
      <c r="BH192" s="190"/>
      <c r="BI192" s="190"/>
      <c r="BJ192" s="190"/>
      <c r="BK192" s="190"/>
      <c r="BL192" s="190"/>
      <c r="BM192" s="190"/>
      <c r="BN192" s="190"/>
      <c r="BO192" s="190"/>
      <c r="BP192" s="190"/>
      <c r="BQ192" s="190"/>
      <c r="BR192" s="190"/>
      <c r="BS192" s="190"/>
      <c r="BT192" s="191"/>
      <c r="BU192" s="190"/>
      <c r="BV192" s="236"/>
      <c r="BW192" s="236"/>
      <c r="BX192" s="190"/>
      <c r="BY192" s="190"/>
      <c r="BZ192" s="190"/>
      <c r="CA192" s="190"/>
      <c r="CB192" s="190"/>
      <c r="CC192" s="679"/>
      <c r="CD192" s="14"/>
      <c r="CE192" s="14"/>
      <c r="CF192" s="14"/>
      <c r="CG192" s="14"/>
      <c r="CH192" s="243"/>
      <c r="CI192" s="243"/>
      <c r="CJ192" s="14"/>
      <c r="CK192" s="14"/>
      <c r="CL192" s="14"/>
      <c r="CM192" s="14"/>
      <c r="CN192" s="14"/>
      <c r="CO192" s="14"/>
      <c r="CP192" s="14"/>
      <c r="CQ192" s="14"/>
      <c r="CR192" s="14"/>
      <c r="CS192" s="14"/>
      <c r="CT192" s="14"/>
      <c r="CU192" s="14"/>
      <c r="CV192" s="14"/>
      <c r="CW192" s="14"/>
      <c r="CX192" s="366"/>
      <c r="CY192" s="14"/>
      <c r="CZ192" s="14"/>
      <c r="DA192" s="14"/>
      <c r="DB192" s="14"/>
      <c r="DC192" s="14"/>
      <c r="DD192" s="14"/>
      <c r="DE192" s="14"/>
      <c r="DF192" s="14"/>
      <c r="DG192" s="14"/>
      <c r="DH192" s="14"/>
      <c r="DI192" s="14"/>
      <c r="DJ192" s="14"/>
      <c r="DK192" s="14"/>
      <c r="DL192" s="14"/>
      <c r="DM192" s="14"/>
      <c r="DN192" s="14"/>
      <c r="DO192" s="14"/>
      <c r="DP192" s="14"/>
      <c r="DQ192" s="14"/>
      <c r="DR192" s="14"/>
      <c r="DS192" s="14"/>
      <c r="DT192" s="634"/>
      <c r="DU192" s="634"/>
      <c r="DV192" s="33"/>
      <c r="DW192" s="14"/>
      <c r="DX192" s="634"/>
      <c r="DY192" s="14"/>
      <c r="DZ192" s="634"/>
      <c r="EA192" s="14"/>
      <c r="EB192" s="14"/>
      <c r="EC192" s="14"/>
      <c r="ED192" s="14"/>
      <c r="EE192" s="14"/>
      <c r="EF192" s="634"/>
      <c r="EG192" s="634"/>
      <c r="EH192" s="14"/>
      <c r="EI192" s="634"/>
      <c r="EJ192" s="634"/>
      <c r="EK192" s="634"/>
      <c r="EL192" s="14"/>
      <c r="EM192" s="634"/>
      <c r="EN192" s="634"/>
      <c r="EO192" s="14"/>
      <c r="EP192" s="634"/>
      <c r="EQ192" s="634"/>
      <c r="ER192" s="33"/>
      <c r="ES192" s="634"/>
      <c r="ET192" s="634"/>
      <c r="EU192" s="14"/>
      <c r="EV192" s="634"/>
      <c r="EW192" s="634"/>
      <c r="EX192" s="14"/>
      <c r="EY192" s="634"/>
      <c r="EZ192" s="634"/>
      <c r="FA192" s="14"/>
      <c r="FB192" s="634"/>
      <c r="FC192" s="634"/>
      <c r="FD192" s="14"/>
      <c r="FE192" s="634"/>
      <c r="FF192" s="634"/>
      <c r="FG192" s="14"/>
      <c r="FH192" s="634"/>
      <c r="FI192" s="634"/>
      <c r="FJ192" s="14"/>
      <c r="FK192" s="634"/>
      <c r="FL192" s="634"/>
      <c r="FM192" s="634"/>
      <c r="FN192" s="634"/>
      <c r="FO192" s="634"/>
      <c r="FP192" s="14"/>
      <c r="FQ192" s="634"/>
      <c r="FR192" s="634"/>
      <c r="FS192" s="668"/>
      <c r="FT192" s="668"/>
      <c r="FU192" s="668"/>
      <c r="FV192" s="668"/>
      <c r="FZ192" s="659"/>
      <c r="GA192" s="659"/>
      <c r="GC192" s="190"/>
      <c r="GD192" s="726"/>
      <c r="GE192" s="14"/>
      <c r="GF192" s="14"/>
      <c r="GG192" s="14"/>
      <c r="GH192" s="14"/>
      <c r="GI192" s="14"/>
      <c r="GJ192" s="14"/>
      <c r="GK192" s="14"/>
      <c r="GL192" s="14"/>
      <c r="GM192" s="14"/>
      <c r="GN192" s="14"/>
      <c r="GO192" s="14"/>
      <c r="GP192" s="14"/>
      <c r="GQ192" s="14"/>
      <c r="GR192" s="14"/>
      <c r="GS192" s="14"/>
      <c r="GT192" s="14"/>
      <c r="GU192" s="14"/>
      <c r="GV192" s="14"/>
      <c r="GW192" s="14"/>
      <c r="GX192" s="14"/>
      <c r="GY192" s="14"/>
      <c r="GZ192" s="14"/>
      <c r="HA192" s="14"/>
      <c r="HB192" s="14"/>
      <c r="HC192" s="14"/>
      <c r="HD192" s="14"/>
      <c r="HE192" s="14"/>
      <c r="HF192" s="14"/>
      <c r="HG192" s="14"/>
      <c r="HH192" s="14"/>
      <c r="HI192" s="14"/>
      <c r="HJ192" s="14"/>
      <c r="HK192" s="14"/>
      <c r="HL192" s="14"/>
      <c r="HM192" s="14"/>
      <c r="HN192" s="14"/>
      <c r="HO192" s="14"/>
      <c r="HP192" s="14"/>
      <c r="HQ192" s="14"/>
      <c r="HR192" s="14"/>
      <c r="HS192" s="14"/>
      <c r="HT192" s="14"/>
      <c r="HU192" s="14"/>
      <c r="HV192" s="14"/>
      <c r="HW192" s="14"/>
      <c r="HX192" s="14"/>
      <c r="HY192" s="14"/>
      <c r="HZ192" s="14"/>
      <c r="IA192" s="14"/>
      <c r="IB192" s="14"/>
      <c r="IC192" s="14"/>
      <c r="ID192" s="14"/>
      <c r="IE192" s="14"/>
      <c r="IF192" s="14"/>
      <c r="IG192" s="14"/>
      <c r="IH192" s="14"/>
      <c r="II192" s="14"/>
      <c r="IJ192" s="14"/>
      <c r="IK192" s="14"/>
      <c r="IL192" s="14"/>
      <c r="IM192" s="14"/>
      <c r="IN192" s="14"/>
      <c r="IO192" s="14"/>
      <c r="IP192" s="14"/>
      <c r="IQ192" s="14"/>
      <c r="IR192" s="14"/>
      <c r="IS192" s="14"/>
      <c r="IT192" s="14"/>
      <c r="IU192" s="14"/>
      <c r="IV192" s="14"/>
      <c r="IW192" s="14"/>
      <c r="IX192" s="14"/>
      <c r="IY192" s="14"/>
      <c r="IZ192" s="14"/>
      <c r="JA192" s="14"/>
      <c r="JB192" s="14"/>
      <c r="JC192" s="14"/>
      <c r="JD192" s="14"/>
      <c r="JE192" s="14"/>
    </row>
    <row r="193" spans="1:265" s="45" customFormat="1">
      <c r="A193" s="368"/>
      <c r="B193" s="14"/>
      <c r="C193" s="14"/>
      <c r="D193" s="14"/>
      <c r="E193" s="14"/>
      <c r="F193" s="14"/>
      <c r="G193" s="14"/>
      <c r="H193" s="14"/>
      <c r="I193" s="14"/>
      <c r="J193" s="14"/>
      <c r="K193" s="339"/>
      <c r="L193" s="209"/>
      <c r="M193" s="209"/>
      <c r="N193" s="209"/>
      <c r="O193" s="14"/>
      <c r="P193" s="14"/>
      <c r="Q193" s="14"/>
      <c r="R193" s="14"/>
      <c r="S193" s="14"/>
      <c r="T193" s="14"/>
      <c r="U193" s="14"/>
      <c r="V193" s="14"/>
      <c r="W193" s="14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  <c r="AH193" s="14"/>
      <c r="AI193" s="14"/>
      <c r="AJ193" s="14"/>
      <c r="AK193" s="14"/>
      <c r="AL193" s="14"/>
      <c r="AM193" s="14"/>
      <c r="AN193" s="14"/>
      <c r="AO193" s="14"/>
      <c r="AP193" s="14"/>
      <c r="AQ193" s="14"/>
      <c r="AR193" s="153"/>
      <c r="AS193" s="32"/>
      <c r="AT193" s="14"/>
      <c r="AU193" s="14"/>
      <c r="AV193" s="14"/>
      <c r="AW193" s="14"/>
      <c r="AX193" s="14"/>
      <c r="AY193" s="190"/>
      <c r="AZ193" s="190"/>
      <c r="BA193" s="190"/>
      <c r="BB193" s="190"/>
      <c r="BC193" s="190"/>
      <c r="BD193" s="190"/>
      <c r="BE193" s="190"/>
      <c r="BF193" s="190"/>
      <c r="BG193" s="190"/>
      <c r="BH193" s="190"/>
      <c r="BI193" s="190"/>
      <c r="BJ193" s="190"/>
      <c r="BK193" s="190"/>
      <c r="BL193" s="190"/>
      <c r="BM193" s="190"/>
      <c r="BN193" s="190"/>
      <c r="BO193" s="190"/>
      <c r="BP193" s="190"/>
      <c r="BQ193" s="190"/>
      <c r="BR193" s="190"/>
      <c r="BS193" s="190"/>
      <c r="BT193" s="191"/>
      <c r="BU193" s="190"/>
      <c r="BV193" s="236"/>
      <c r="BW193" s="236"/>
      <c r="BX193" s="190"/>
      <c r="BY193" s="190"/>
      <c r="BZ193" s="190"/>
      <c r="CA193" s="190"/>
      <c r="CB193" s="190"/>
      <c r="CC193" s="679"/>
      <c r="CD193" s="14"/>
      <c r="CE193" s="14"/>
      <c r="CF193" s="14"/>
      <c r="CG193" s="14"/>
      <c r="CH193" s="243"/>
      <c r="CI193" s="243"/>
      <c r="CJ193" s="14"/>
      <c r="CK193" s="14"/>
      <c r="CL193" s="14"/>
      <c r="CM193" s="14"/>
      <c r="CN193" s="14"/>
      <c r="CO193" s="14"/>
      <c r="CP193" s="14"/>
      <c r="CQ193" s="14"/>
      <c r="CR193" s="14"/>
      <c r="CS193" s="14"/>
      <c r="CT193" s="14"/>
      <c r="CU193" s="14"/>
      <c r="CV193" s="14"/>
      <c r="CW193" s="14"/>
      <c r="CX193" s="366"/>
      <c r="CY193" s="14"/>
      <c r="CZ193" s="14"/>
      <c r="DA193" s="14"/>
      <c r="DB193" s="14"/>
      <c r="DC193" s="14"/>
      <c r="DD193" s="14"/>
      <c r="DE193" s="14"/>
      <c r="DF193" s="14"/>
      <c r="DG193" s="14"/>
      <c r="DH193" s="14"/>
      <c r="DI193" s="14"/>
      <c r="DJ193" s="14"/>
      <c r="DK193" s="14"/>
      <c r="DL193" s="14"/>
      <c r="DM193" s="14"/>
      <c r="DN193" s="14"/>
      <c r="DO193" s="14"/>
      <c r="DP193" s="14"/>
      <c r="DQ193" s="14"/>
      <c r="DR193" s="14"/>
      <c r="DS193" s="14"/>
      <c r="DT193" s="634"/>
      <c r="DU193" s="634"/>
      <c r="DV193" s="33"/>
      <c r="DW193" s="14"/>
      <c r="DX193" s="634"/>
      <c r="DY193" s="14"/>
      <c r="DZ193" s="634"/>
      <c r="EA193" s="14"/>
      <c r="EB193" s="14"/>
      <c r="EC193" s="14"/>
      <c r="ED193" s="14"/>
      <c r="EE193" s="14"/>
      <c r="EF193" s="634"/>
      <c r="EG193" s="634"/>
      <c r="EH193" s="14"/>
      <c r="EI193" s="634"/>
      <c r="EJ193" s="634"/>
      <c r="EK193" s="634"/>
      <c r="EL193" s="14"/>
      <c r="EM193" s="634"/>
      <c r="EN193" s="634"/>
      <c r="EO193" s="14"/>
      <c r="EP193" s="634"/>
      <c r="EQ193" s="634"/>
      <c r="ER193" s="33"/>
      <c r="ES193" s="634"/>
      <c r="ET193" s="634"/>
      <c r="EU193" s="14"/>
      <c r="EV193" s="634"/>
      <c r="EW193" s="634"/>
      <c r="EX193" s="14"/>
      <c r="EY193" s="634"/>
      <c r="EZ193" s="634"/>
      <c r="FA193" s="14"/>
      <c r="FB193" s="634"/>
      <c r="FC193" s="634"/>
      <c r="FD193" s="14"/>
      <c r="FE193" s="634"/>
      <c r="FF193" s="634"/>
      <c r="FG193" s="14"/>
      <c r="FH193" s="634"/>
      <c r="FI193" s="634"/>
      <c r="FJ193" s="14"/>
      <c r="FK193" s="634"/>
      <c r="FL193" s="634"/>
      <c r="FM193" s="634"/>
      <c r="FN193" s="634"/>
      <c r="FO193" s="634"/>
      <c r="FP193" s="14"/>
      <c r="FQ193" s="634"/>
      <c r="FR193" s="634"/>
      <c r="FS193" s="668"/>
      <c r="FT193" s="668"/>
      <c r="FU193" s="668"/>
      <c r="FV193" s="668"/>
      <c r="FZ193" s="659"/>
      <c r="GA193" s="659"/>
      <c r="GC193" s="190"/>
      <c r="GD193" s="726"/>
      <c r="GE193" s="14"/>
      <c r="GF193" s="14"/>
      <c r="GG193" s="14"/>
      <c r="GH193" s="14"/>
      <c r="GI193" s="14"/>
      <c r="GJ193" s="14"/>
      <c r="GK193" s="14"/>
      <c r="GL193" s="14"/>
      <c r="GM193" s="14"/>
      <c r="GN193" s="14"/>
      <c r="GO193" s="14"/>
      <c r="GP193" s="14"/>
      <c r="GQ193" s="14"/>
      <c r="GR193" s="14"/>
      <c r="GS193" s="14"/>
      <c r="GT193" s="14"/>
      <c r="GU193" s="14"/>
      <c r="GV193" s="14"/>
      <c r="GW193" s="14"/>
      <c r="GX193" s="14"/>
      <c r="GY193" s="14"/>
      <c r="GZ193" s="14"/>
      <c r="HA193" s="14"/>
      <c r="HB193" s="14"/>
      <c r="HC193" s="14"/>
      <c r="HD193" s="14"/>
      <c r="HE193" s="14"/>
      <c r="HF193" s="14"/>
      <c r="HG193" s="14"/>
      <c r="HH193" s="14"/>
      <c r="HI193" s="14"/>
      <c r="HJ193" s="14"/>
      <c r="HK193" s="14"/>
      <c r="HL193" s="14"/>
      <c r="HM193" s="14"/>
      <c r="HN193" s="14"/>
      <c r="HO193" s="14"/>
      <c r="HP193" s="14"/>
      <c r="HQ193" s="14"/>
      <c r="HR193" s="14"/>
      <c r="HS193" s="14"/>
      <c r="HT193" s="14"/>
      <c r="HU193" s="14"/>
      <c r="HV193" s="14"/>
      <c r="HW193" s="14"/>
      <c r="HX193" s="14"/>
      <c r="HY193" s="14"/>
      <c r="HZ193" s="14"/>
      <c r="IA193" s="14"/>
      <c r="IB193" s="14"/>
      <c r="IC193" s="14"/>
      <c r="ID193" s="14"/>
      <c r="IE193" s="14"/>
      <c r="IF193" s="14"/>
      <c r="IG193" s="14"/>
      <c r="IH193" s="14"/>
      <c r="II193" s="14"/>
      <c r="IJ193" s="14"/>
      <c r="IK193" s="14"/>
      <c r="IL193" s="14"/>
      <c r="IM193" s="14"/>
      <c r="IN193" s="14"/>
      <c r="IO193" s="14"/>
      <c r="IP193" s="14"/>
      <c r="IQ193" s="14"/>
      <c r="IR193" s="14"/>
      <c r="IS193" s="14"/>
      <c r="IT193" s="14"/>
      <c r="IU193" s="14"/>
      <c r="IV193" s="14"/>
      <c r="IW193" s="14"/>
      <c r="IX193" s="14"/>
      <c r="IY193" s="14"/>
      <c r="IZ193" s="14"/>
      <c r="JA193" s="14"/>
      <c r="JB193" s="14"/>
      <c r="JC193" s="14"/>
      <c r="JD193" s="14"/>
      <c r="JE193" s="14"/>
    </row>
    <row r="194" spans="1:265" s="45" customFormat="1">
      <c r="A194" s="368"/>
      <c r="B194" s="14"/>
      <c r="C194" s="14"/>
      <c r="D194" s="14"/>
      <c r="E194" s="14"/>
      <c r="F194" s="14"/>
      <c r="G194" s="14"/>
      <c r="H194" s="14"/>
      <c r="I194" s="14"/>
      <c r="J194" s="14"/>
      <c r="K194" s="339"/>
      <c r="L194" s="209"/>
      <c r="M194" s="209"/>
      <c r="N194" s="209"/>
      <c r="O194" s="14"/>
      <c r="P194" s="14"/>
      <c r="Q194" s="14"/>
      <c r="R194" s="14"/>
      <c r="S194" s="14"/>
      <c r="T194" s="14"/>
      <c r="U194" s="14"/>
      <c r="V194" s="14"/>
      <c r="W194" s="14"/>
      <c r="X194" s="14"/>
      <c r="Y194" s="14"/>
      <c r="Z194" s="14"/>
      <c r="AA194" s="14"/>
      <c r="AB194" s="14"/>
      <c r="AC194" s="14"/>
      <c r="AD194" s="14"/>
      <c r="AE194" s="14"/>
      <c r="AF194" s="14"/>
      <c r="AG194" s="14"/>
      <c r="AH194" s="14"/>
      <c r="AI194" s="14"/>
      <c r="AJ194" s="14"/>
      <c r="AK194" s="14"/>
      <c r="AL194" s="14"/>
      <c r="AM194" s="14"/>
      <c r="AN194" s="14"/>
      <c r="AO194" s="14"/>
      <c r="AP194" s="14"/>
      <c r="AQ194" s="14"/>
      <c r="AR194" s="153"/>
      <c r="AS194" s="32"/>
      <c r="AT194" s="14"/>
      <c r="AU194" s="14"/>
      <c r="AV194" s="14"/>
      <c r="AW194" s="14"/>
      <c r="AX194" s="14"/>
      <c r="AY194" s="190"/>
      <c r="AZ194" s="190"/>
      <c r="BA194" s="190"/>
      <c r="BB194" s="190"/>
      <c r="BC194" s="190"/>
      <c r="BD194" s="190"/>
      <c r="BE194" s="190"/>
      <c r="BF194" s="190"/>
      <c r="BG194" s="190"/>
      <c r="BH194" s="190"/>
      <c r="BI194" s="190"/>
      <c r="BJ194" s="190"/>
      <c r="BK194" s="190"/>
      <c r="BL194" s="190"/>
      <c r="BM194" s="190"/>
      <c r="BN194" s="190"/>
      <c r="BO194" s="190"/>
      <c r="BP194" s="190"/>
      <c r="BQ194" s="190"/>
      <c r="BR194" s="190"/>
      <c r="BS194" s="190"/>
      <c r="BT194" s="191"/>
      <c r="BU194" s="190"/>
      <c r="BV194" s="236"/>
      <c r="BW194" s="236"/>
      <c r="BX194" s="190"/>
      <c r="BY194" s="190"/>
      <c r="BZ194" s="190"/>
      <c r="CA194" s="190"/>
      <c r="CB194" s="190"/>
      <c r="CC194" s="679"/>
      <c r="CD194" s="14"/>
      <c r="CE194" s="14"/>
      <c r="CF194" s="14"/>
      <c r="CG194" s="14"/>
      <c r="CH194" s="243"/>
      <c r="CI194" s="243"/>
      <c r="CJ194" s="14"/>
      <c r="CK194" s="14"/>
      <c r="CL194" s="14"/>
      <c r="CM194" s="14"/>
      <c r="CN194" s="14"/>
      <c r="CO194" s="14"/>
      <c r="CP194" s="14"/>
      <c r="CQ194" s="14"/>
      <c r="CR194" s="14"/>
      <c r="CS194" s="14"/>
      <c r="CT194" s="14"/>
      <c r="CU194" s="14"/>
      <c r="CV194" s="14"/>
      <c r="CW194" s="14"/>
      <c r="CX194" s="366"/>
      <c r="CY194" s="14"/>
      <c r="CZ194" s="14"/>
      <c r="DA194" s="14"/>
      <c r="DB194" s="14"/>
      <c r="DC194" s="14"/>
      <c r="DD194" s="14"/>
      <c r="DE194" s="14"/>
      <c r="DF194" s="14"/>
      <c r="DG194" s="14"/>
      <c r="DH194" s="14"/>
      <c r="DI194" s="14"/>
      <c r="DJ194" s="14"/>
      <c r="DK194" s="14"/>
      <c r="DL194" s="14"/>
      <c r="DM194" s="14"/>
      <c r="DN194" s="14"/>
      <c r="DO194" s="14"/>
      <c r="DP194" s="14"/>
      <c r="DQ194" s="14"/>
      <c r="DR194" s="14"/>
      <c r="DS194" s="14"/>
      <c r="DT194" s="634"/>
      <c r="DU194" s="634"/>
      <c r="DV194" s="33"/>
      <c r="DW194" s="14"/>
      <c r="DX194" s="634"/>
      <c r="DY194" s="14"/>
      <c r="DZ194" s="634"/>
      <c r="EA194" s="14"/>
      <c r="EB194" s="14"/>
      <c r="EC194" s="14"/>
      <c r="ED194" s="14"/>
      <c r="EE194" s="14"/>
      <c r="EF194" s="634"/>
      <c r="EG194" s="634"/>
      <c r="EH194" s="14"/>
      <c r="EI194" s="634"/>
      <c r="EJ194" s="634"/>
      <c r="EK194" s="634"/>
      <c r="EL194" s="14"/>
      <c r="EM194" s="634"/>
      <c r="EN194" s="634"/>
      <c r="EO194" s="14"/>
      <c r="EP194" s="634"/>
      <c r="EQ194" s="634"/>
      <c r="ER194" s="33"/>
      <c r="ES194" s="634"/>
      <c r="ET194" s="634"/>
      <c r="EU194" s="14"/>
      <c r="EV194" s="634"/>
      <c r="EW194" s="634"/>
      <c r="EX194" s="14"/>
      <c r="EY194" s="634"/>
      <c r="EZ194" s="634"/>
      <c r="FA194" s="14"/>
      <c r="FB194" s="634"/>
      <c r="FC194" s="634"/>
      <c r="FD194" s="14"/>
      <c r="FE194" s="634"/>
      <c r="FF194" s="634"/>
      <c r="FG194" s="14"/>
      <c r="FH194" s="634"/>
      <c r="FI194" s="634"/>
      <c r="FJ194" s="14"/>
      <c r="FK194" s="634"/>
      <c r="FL194" s="634"/>
      <c r="FM194" s="634"/>
      <c r="FN194" s="634"/>
      <c r="FO194" s="634"/>
      <c r="FP194" s="14"/>
      <c r="FQ194" s="634"/>
      <c r="FR194" s="634"/>
      <c r="FS194" s="668"/>
      <c r="FT194" s="668"/>
      <c r="FU194" s="668"/>
      <c r="FV194" s="668"/>
      <c r="FZ194" s="659"/>
      <c r="GA194" s="659"/>
      <c r="GC194" s="190"/>
      <c r="GD194" s="726"/>
      <c r="GE194" s="14"/>
      <c r="GF194" s="14"/>
      <c r="GG194" s="14"/>
      <c r="GH194" s="14"/>
      <c r="GI194" s="14"/>
      <c r="GJ194" s="14"/>
      <c r="GK194" s="14"/>
      <c r="GL194" s="14"/>
      <c r="GM194" s="14"/>
      <c r="GN194" s="14"/>
      <c r="GO194" s="14"/>
      <c r="GP194" s="14"/>
      <c r="GQ194" s="14"/>
      <c r="GR194" s="14"/>
      <c r="GS194" s="14"/>
      <c r="GT194" s="14"/>
      <c r="GU194" s="14"/>
      <c r="GV194" s="14"/>
      <c r="GW194" s="14"/>
      <c r="GX194" s="14"/>
      <c r="GY194" s="14"/>
      <c r="GZ194" s="14"/>
      <c r="HA194" s="14"/>
      <c r="HB194" s="14"/>
      <c r="HC194" s="14"/>
      <c r="HD194" s="14"/>
      <c r="HE194" s="14"/>
      <c r="HF194" s="14"/>
      <c r="HG194" s="14"/>
      <c r="HH194" s="14"/>
      <c r="HI194" s="14"/>
      <c r="HJ194" s="14"/>
      <c r="HK194" s="14"/>
      <c r="HL194" s="14"/>
      <c r="HM194" s="14"/>
      <c r="HN194" s="14"/>
      <c r="HO194" s="14"/>
      <c r="HP194" s="14"/>
      <c r="HQ194" s="14"/>
      <c r="HR194" s="14"/>
      <c r="HS194" s="14"/>
      <c r="HT194" s="14"/>
      <c r="HU194" s="14"/>
      <c r="HV194" s="14"/>
      <c r="HW194" s="14"/>
      <c r="HX194" s="14"/>
      <c r="HY194" s="14"/>
      <c r="HZ194" s="14"/>
      <c r="IA194" s="14"/>
      <c r="IB194" s="14"/>
      <c r="IC194" s="14"/>
      <c r="ID194" s="14"/>
      <c r="IE194" s="14"/>
      <c r="IF194" s="14"/>
      <c r="IG194" s="14"/>
      <c r="IH194" s="14"/>
      <c r="II194" s="14"/>
      <c r="IJ194" s="14"/>
      <c r="IK194" s="14"/>
      <c r="IL194" s="14"/>
      <c r="IM194" s="14"/>
      <c r="IN194" s="14"/>
      <c r="IO194" s="14"/>
      <c r="IP194" s="14"/>
      <c r="IQ194" s="14"/>
      <c r="IR194" s="14"/>
      <c r="IS194" s="14"/>
      <c r="IT194" s="14"/>
      <c r="IU194" s="14"/>
      <c r="IV194" s="14"/>
      <c r="IW194" s="14"/>
      <c r="IX194" s="14"/>
      <c r="IY194" s="14"/>
      <c r="IZ194" s="14"/>
      <c r="JA194" s="14"/>
      <c r="JB194" s="14"/>
      <c r="JC194" s="14"/>
      <c r="JD194" s="14"/>
      <c r="JE194" s="14"/>
    </row>
    <row r="195" spans="1:265" s="45" customFormat="1">
      <c r="A195" s="368"/>
      <c r="B195" s="14"/>
      <c r="C195" s="14"/>
      <c r="D195" s="14"/>
      <c r="E195" s="14"/>
      <c r="F195" s="14"/>
      <c r="G195" s="14"/>
      <c r="H195" s="14"/>
      <c r="I195" s="14"/>
      <c r="J195" s="14"/>
      <c r="K195" s="339"/>
      <c r="L195" s="209"/>
      <c r="M195" s="209"/>
      <c r="N195" s="209"/>
      <c r="O195" s="14"/>
      <c r="P195" s="14"/>
      <c r="Q195" s="14"/>
      <c r="R195" s="14"/>
      <c r="S195" s="14"/>
      <c r="T195" s="14"/>
      <c r="U195" s="14"/>
      <c r="V195" s="14"/>
      <c r="W195" s="14"/>
      <c r="X195" s="14"/>
      <c r="Y195" s="14"/>
      <c r="Z195" s="14"/>
      <c r="AA195" s="14"/>
      <c r="AB195" s="14"/>
      <c r="AC195" s="14"/>
      <c r="AD195" s="14"/>
      <c r="AE195" s="14"/>
      <c r="AF195" s="14"/>
      <c r="AG195" s="14"/>
      <c r="AH195" s="14"/>
      <c r="AI195" s="14"/>
      <c r="AJ195" s="14"/>
      <c r="AK195" s="14"/>
      <c r="AL195" s="14"/>
      <c r="AM195" s="14"/>
      <c r="AN195" s="14"/>
      <c r="AO195" s="14"/>
      <c r="AP195" s="14"/>
      <c r="AQ195" s="14"/>
      <c r="AR195" s="153"/>
      <c r="AS195" s="32"/>
      <c r="AT195" s="14"/>
      <c r="AU195" s="14"/>
      <c r="AV195" s="14"/>
      <c r="AW195" s="14"/>
      <c r="AX195" s="14"/>
      <c r="AY195" s="190"/>
      <c r="AZ195" s="190"/>
      <c r="BA195" s="190"/>
      <c r="BB195" s="190"/>
      <c r="BC195" s="190"/>
      <c r="BD195" s="190"/>
      <c r="BE195" s="190"/>
      <c r="BF195" s="190"/>
      <c r="BG195" s="190"/>
      <c r="BH195" s="190"/>
      <c r="BI195" s="190"/>
      <c r="BJ195" s="190"/>
      <c r="BK195" s="190"/>
      <c r="BL195" s="190"/>
      <c r="BM195" s="190"/>
      <c r="BN195" s="190"/>
      <c r="BO195" s="190"/>
      <c r="BP195" s="190"/>
      <c r="BQ195" s="190"/>
      <c r="BR195" s="190"/>
      <c r="BS195" s="190"/>
      <c r="BT195" s="191"/>
      <c r="BU195" s="190"/>
      <c r="BV195" s="236"/>
      <c r="BW195" s="236"/>
      <c r="BX195" s="190"/>
      <c r="BY195" s="190"/>
      <c r="BZ195" s="190"/>
      <c r="CA195" s="190"/>
      <c r="CB195" s="190"/>
      <c r="CC195" s="679"/>
      <c r="CD195" s="14"/>
      <c r="CE195" s="14"/>
      <c r="CF195" s="14"/>
      <c r="CG195" s="14"/>
      <c r="CH195" s="243"/>
      <c r="CI195" s="243"/>
      <c r="CJ195" s="14"/>
      <c r="CK195" s="14"/>
      <c r="CL195" s="14"/>
      <c r="CM195" s="14"/>
      <c r="CN195" s="14"/>
      <c r="CO195" s="14"/>
      <c r="CP195" s="14"/>
      <c r="CQ195" s="14"/>
      <c r="CR195" s="14"/>
      <c r="CS195" s="14"/>
      <c r="CT195" s="14"/>
      <c r="CU195" s="14"/>
      <c r="CV195" s="14"/>
      <c r="CW195" s="14"/>
      <c r="CX195" s="366"/>
      <c r="CY195" s="14"/>
      <c r="CZ195" s="14"/>
      <c r="DA195" s="14"/>
      <c r="DB195" s="14"/>
      <c r="DC195" s="14"/>
      <c r="DD195" s="14"/>
      <c r="DE195" s="14"/>
      <c r="DF195" s="14"/>
      <c r="DG195" s="14"/>
      <c r="DH195" s="14"/>
      <c r="DI195" s="14"/>
      <c r="DJ195" s="14"/>
      <c r="DK195" s="14"/>
      <c r="DL195" s="14"/>
      <c r="DM195" s="14"/>
      <c r="DN195" s="14"/>
      <c r="DO195" s="14"/>
      <c r="DP195" s="14"/>
      <c r="DQ195" s="14"/>
      <c r="DR195" s="14"/>
      <c r="DS195" s="14"/>
      <c r="DT195" s="634"/>
      <c r="DU195" s="634"/>
      <c r="DV195" s="33"/>
      <c r="DW195" s="14"/>
      <c r="DX195" s="634"/>
      <c r="DY195" s="14"/>
      <c r="DZ195" s="634"/>
      <c r="EA195" s="14"/>
      <c r="EB195" s="14"/>
      <c r="EC195" s="14"/>
      <c r="ED195" s="14"/>
      <c r="EE195" s="14"/>
      <c r="EF195" s="634"/>
      <c r="EG195" s="634"/>
      <c r="EH195" s="14"/>
      <c r="EI195" s="634"/>
      <c r="EJ195" s="634"/>
      <c r="EK195" s="634"/>
      <c r="EL195" s="14"/>
      <c r="EM195" s="634"/>
      <c r="EN195" s="634"/>
      <c r="EO195" s="14"/>
      <c r="EP195" s="634"/>
      <c r="EQ195" s="634"/>
      <c r="ER195" s="33"/>
      <c r="ES195" s="634"/>
      <c r="ET195" s="634"/>
      <c r="EU195" s="14"/>
      <c r="EV195" s="634"/>
      <c r="EW195" s="634"/>
      <c r="EX195" s="14"/>
      <c r="EY195" s="634"/>
      <c r="EZ195" s="634"/>
      <c r="FA195" s="14"/>
      <c r="FB195" s="634"/>
      <c r="FC195" s="634"/>
      <c r="FD195" s="14"/>
      <c r="FE195" s="634"/>
      <c r="FF195" s="634"/>
      <c r="FG195" s="14"/>
      <c r="FH195" s="634"/>
      <c r="FI195" s="634"/>
      <c r="FJ195" s="14"/>
      <c r="FK195" s="634"/>
      <c r="FL195" s="634"/>
      <c r="FM195" s="634"/>
      <c r="FN195" s="634"/>
      <c r="FO195" s="634"/>
      <c r="FP195" s="14"/>
      <c r="FQ195" s="634"/>
      <c r="FR195" s="634"/>
      <c r="FS195" s="668"/>
      <c r="FT195" s="668"/>
      <c r="FU195" s="668"/>
      <c r="FV195" s="668"/>
      <c r="FZ195" s="659"/>
      <c r="GA195" s="659"/>
      <c r="GC195" s="190"/>
      <c r="GD195" s="726"/>
      <c r="GE195" s="14"/>
      <c r="GF195" s="14"/>
      <c r="GG195" s="14"/>
      <c r="GH195" s="14"/>
      <c r="GI195" s="14"/>
      <c r="GJ195" s="14"/>
      <c r="GK195" s="14"/>
      <c r="GL195" s="14"/>
      <c r="GM195" s="14"/>
      <c r="GN195" s="14"/>
      <c r="GO195" s="14"/>
      <c r="GP195" s="14"/>
      <c r="GQ195" s="14"/>
      <c r="GR195" s="14"/>
      <c r="GS195" s="14"/>
      <c r="GT195" s="14"/>
      <c r="GU195" s="14"/>
      <c r="GV195" s="14"/>
      <c r="GW195" s="14"/>
      <c r="GX195" s="14"/>
      <c r="GY195" s="14"/>
      <c r="GZ195" s="14"/>
      <c r="HA195" s="14"/>
      <c r="HB195" s="14"/>
      <c r="HC195" s="14"/>
      <c r="HD195" s="14"/>
      <c r="HE195" s="14"/>
      <c r="HF195" s="14"/>
      <c r="HG195" s="14"/>
      <c r="HH195" s="14"/>
      <c r="HI195" s="14"/>
      <c r="HJ195" s="14"/>
      <c r="HK195" s="14"/>
      <c r="HL195" s="14"/>
      <c r="HM195" s="14"/>
      <c r="HN195" s="14"/>
      <c r="HO195" s="14"/>
      <c r="HP195" s="14"/>
      <c r="HQ195" s="14"/>
      <c r="HR195" s="14"/>
      <c r="HS195" s="14"/>
      <c r="HT195" s="14"/>
      <c r="HU195" s="14"/>
      <c r="HV195" s="14"/>
      <c r="HW195" s="14"/>
      <c r="HX195" s="14"/>
      <c r="HY195" s="14"/>
      <c r="HZ195" s="14"/>
      <c r="IA195" s="14"/>
      <c r="IB195" s="14"/>
      <c r="IC195" s="14"/>
      <c r="ID195" s="14"/>
      <c r="IE195" s="14"/>
      <c r="IF195" s="14"/>
      <c r="IG195" s="14"/>
      <c r="IH195" s="14"/>
      <c r="II195" s="14"/>
      <c r="IJ195" s="14"/>
      <c r="IK195" s="14"/>
      <c r="IL195" s="14"/>
      <c r="IM195" s="14"/>
      <c r="IN195" s="14"/>
      <c r="IO195" s="14"/>
      <c r="IP195" s="14"/>
      <c r="IQ195" s="14"/>
      <c r="IR195" s="14"/>
      <c r="IS195" s="14"/>
      <c r="IT195" s="14"/>
      <c r="IU195" s="14"/>
      <c r="IV195" s="14"/>
      <c r="IW195" s="14"/>
      <c r="IX195" s="14"/>
      <c r="IY195" s="14"/>
      <c r="IZ195" s="14"/>
      <c r="JA195" s="14"/>
      <c r="JB195" s="14"/>
      <c r="JC195" s="14"/>
      <c r="JD195" s="14"/>
      <c r="JE195" s="14"/>
    </row>
    <row r="196" spans="1:265" s="45" customFormat="1">
      <c r="A196" s="370"/>
      <c r="B196" s="158" t="s">
        <v>59</v>
      </c>
      <c r="C196" s="158" t="s">
        <v>60</v>
      </c>
      <c r="D196" s="14"/>
      <c r="E196" s="14"/>
      <c r="F196" s="14"/>
      <c r="G196" s="280"/>
      <c r="H196" s="32"/>
      <c r="I196" s="32"/>
      <c r="J196" s="32"/>
      <c r="K196" s="339"/>
      <c r="L196" s="209"/>
      <c r="M196" s="209"/>
      <c r="N196" s="209"/>
      <c r="O196" s="14"/>
      <c r="P196" s="14"/>
      <c r="Q196" s="14"/>
      <c r="R196" s="14"/>
      <c r="S196" s="14"/>
      <c r="T196" s="14"/>
      <c r="U196" s="14"/>
      <c r="V196" s="14"/>
      <c r="W196" s="14"/>
      <c r="X196" s="14"/>
      <c r="Y196" s="14"/>
      <c r="Z196" s="14"/>
      <c r="AA196" s="14"/>
      <c r="AB196" s="14"/>
      <c r="AC196" s="14"/>
      <c r="AD196" s="14"/>
      <c r="AE196" s="14"/>
      <c r="AF196" s="14"/>
      <c r="AG196" s="14"/>
      <c r="AH196" s="14"/>
      <c r="AI196" s="14"/>
      <c r="AJ196" s="14"/>
      <c r="AK196" s="14"/>
      <c r="AL196" s="14"/>
      <c r="AM196" s="14"/>
      <c r="AN196" s="14"/>
      <c r="AO196" s="14"/>
      <c r="AP196" s="14"/>
      <c r="AQ196" s="14"/>
      <c r="AR196" s="153"/>
      <c r="AS196" s="32"/>
      <c r="AT196" s="14"/>
      <c r="AU196" s="14"/>
      <c r="AV196" s="14"/>
      <c r="AW196" s="14"/>
      <c r="AX196" s="14"/>
      <c r="AY196" s="190"/>
      <c r="AZ196" s="190"/>
      <c r="BA196" s="190"/>
      <c r="BB196" s="190"/>
      <c r="BC196" s="190"/>
      <c r="BD196" s="190"/>
      <c r="BE196" s="190"/>
      <c r="BF196" s="190"/>
      <c r="BG196" s="190"/>
      <c r="BH196" s="190"/>
      <c r="BI196" s="190"/>
      <c r="BJ196" s="190"/>
      <c r="BK196" s="190"/>
      <c r="BL196" s="190"/>
      <c r="BM196" s="190"/>
      <c r="BN196" s="190"/>
      <c r="BO196" s="190"/>
      <c r="BP196" s="190"/>
      <c r="BQ196" s="190"/>
      <c r="BR196" s="190"/>
      <c r="BS196" s="190"/>
      <c r="BT196" s="191"/>
      <c r="BU196" s="190"/>
      <c r="BV196" s="236"/>
      <c r="BW196" s="236"/>
      <c r="BX196" s="190"/>
      <c r="BY196" s="190"/>
      <c r="BZ196" s="190"/>
      <c r="CA196" s="190"/>
      <c r="CB196" s="190"/>
      <c r="CC196" s="679"/>
      <c r="CD196" s="14"/>
      <c r="CE196" s="14"/>
      <c r="CF196" s="14"/>
      <c r="CG196" s="14"/>
      <c r="CH196" s="243"/>
      <c r="CI196" s="243"/>
      <c r="CJ196" s="14"/>
      <c r="CK196" s="14"/>
      <c r="CL196" s="14"/>
      <c r="CM196" s="14"/>
      <c r="CN196" s="14"/>
      <c r="CO196" s="14"/>
      <c r="CP196" s="14"/>
      <c r="CQ196" s="14"/>
      <c r="CR196" s="14"/>
      <c r="CS196" s="14"/>
      <c r="CT196" s="14"/>
      <c r="CU196" s="14"/>
      <c r="CV196" s="14"/>
      <c r="CW196" s="14"/>
      <c r="CX196" s="366"/>
      <c r="CY196" s="14"/>
      <c r="CZ196" s="14"/>
      <c r="DA196" s="14"/>
      <c r="DB196" s="14"/>
      <c r="DC196" s="14"/>
      <c r="DD196" s="14"/>
      <c r="DE196" s="14"/>
      <c r="DF196" s="14"/>
      <c r="DG196" s="14"/>
      <c r="DH196" s="14"/>
      <c r="DI196" s="14"/>
      <c r="DJ196" s="14"/>
      <c r="DK196" s="14"/>
      <c r="DL196" s="14"/>
      <c r="DM196" s="14"/>
      <c r="DN196" s="14"/>
      <c r="DO196" s="14"/>
      <c r="DP196" s="14"/>
      <c r="DQ196" s="14"/>
      <c r="DR196" s="14"/>
      <c r="DS196" s="14"/>
      <c r="DT196" s="634"/>
      <c r="DU196" s="634"/>
      <c r="DV196" s="33"/>
      <c r="DW196" s="14"/>
      <c r="DX196" s="634"/>
      <c r="DY196" s="14"/>
      <c r="DZ196" s="634"/>
      <c r="EA196" s="14"/>
      <c r="EB196" s="14"/>
      <c r="EC196" s="14"/>
      <c r="ED196" s="14"/>
      <c r="EE196" s="14"/>
      <c r="EF196" s="634"/>
      <c r="EG196" s="634"/>
      <c r="EH196" s="14"/>
      <c r="EI196" s="634"/>
      <c r="EJ196" s="634"/>
      <c r="EK196" s="634"/>
      <c r="EL196" s="14"/>
      <c r="EM196" s="634"/>
      <c r="EN196" s="634"/>
      <c r="EO196" s="14"/>
      <c r="EP196" s="634"/>
      <c r="EQ196" s="634"/>
      <c r="ER196" s="33"/>
      <c r="ES196" s="634"/>
      <c r="ET196" s="634"/>
      <c r="EU196" s="14"/>
      <c r="EV196" s="634"/>
      <c r="EW196" s="634"/>
      <c r="EX196" s="14"/>
      <c r="EY196" s="634"/>
      <c r="EZ196" s="634"/>
      <c r="FA196" s="14"/>
      <c r="FB196" s="634"/>
      <c r="FC196" s="634"/>
      <c r="FD196" s="14"/>
      <c r="FE196" s="634"/>
      <c r="FF196" s="634"/>
      <c r="FG196" s="14"/>
      <c r="FH196" s="634"/>
      <c r="FI196" s="634"/>
      <c r="FJ196" s="14"/>
      <c r="FK196" s="634"/>
      <c r="FL196" s="634"/>
      <c r="FM196" s="634"/>
      <c r="FN196" s="634"/>
      <c r="FO196" s="634"/>
      <c r="FP196" s="14"/>
      <c r="FQ196" s="634"/>
      <c r="FR196" s="634"/>
      <c r="FS196" s="668"/>
      <c r="FT196" s="668"/>
      <c r="FU196" s="668"/>
      <c r="FV196" s="668"/>
      <c r="FZ196" s="659"/>
      <c r="GA196" s="659"/>
      <c r="GC196" s="190"/>
      <c r="GD196" s="726"/>
      <c r="GE196" s="14"/>
      <c r="GF196" s="14"/>
      <c r="GG196" s="14"/>
      <c r="GH196" s="14"/>
      <c r="GI196" s="14"/>
      <c r="GJ196" s="14"/>
      <c r="GK196" s="14"/>
      <c r="GL196" s="14"/>
      <c r="GM196" s="14"/>
      <c r="GN196" s="14"/>
      <c r="GO196" s="14"/>
      <c r="GP196" s="14"/>
      <c r="GQ196" s="14"/>
      <c r="GR196" s="14"/>
      <c r="GS196" s="14"/>
      <c r="GT196" s="14"/>
      <c r="GU196" s="14"/>
      <c r="GV196" s="14"/>
      <c r="GW196" s="14"/>
      <c r="GX196" s="14"/>
      <c r="GY196" s="14"/>
      <c r="GZ196" s="14"/>
      <c r="HA196" s="14"/>
      <c r="HB196" s="14"/>
      <c r="HC196" s="14"/>
      <c r="HD196" s="14"/>
      <c r="HE196" s="14"/>
      <c r="HF196" s="14"/>
      <c r="HG196" s="14"/>
      <c r="HH196" s="14"/>
      <c r="HI196" s="14"/>
      <c r="HJ196" s="14"/>
      <c r="HK196" s="14"/>
      <c r="HL196" s="14"/>
      <c r="HM196" s="14"/>
      <c r="HN196" s="14"/>
      <c r="HO196" s="14"/>
      <c r="HP196" s="14"/>
      <c r="HQ196" s="14"/>
      <c r="HR196" s="14"/>
      <c r="HS196" s="14"/>
      <c r="HT196" s="14"/>
      <c r="HU196" s="14"/>
      <c r="HV196" s="14"/>
      <c r="HW196" s="14"/>
      <c r="HX196" s="14"/>
      <c r="HY196" s="14"/>
      <c r="HZ196" s="14"/>
      <c r="IA196" s="14"/>
      <c r="IB196" s="14"/>
      <c r="IC196" s="14"/>
      <c r="ID196" s="14"/>
      <c r="IE196" s="14"/>
      <c r="IF196" s="14"/>
      <c r="IG196" s="14"/>
      <c r="IH196" s="14"/>
      <c r="II196" s="14"/>
      <c r="IJ196" s="14"/>
      <c r="IK196" s="14"/>
      <c r="IL196" s="14"/>
      <c r="IM196" s="14"/>
      <c r="IN196" s="14"/>
      <c r="IO196" s="14"/>
      <c r="IP196" s="14"/>
      <c r="IQ196" s="14"/>
      <c r="IR196" s="14"/>
      <c r="IS196" s="14"/>
      <c r="IT196" s="14"/>
      <c r="IU196" s="14"/>
      <c r="IV196" s="14"/>
      <c r="IW196" s="14"/>
      <c r="IX196" s="14"/>
      <c r="IY196" s="14"/>
      <c r="IZ196" s="14"/>
      <c r="JA196" s="14"/>
      <c r="JB196" s="14"/>
      <c r="JC196" s="14"/>
      <c r="JD196" s="14"/>
      <c r="JE196" s="14"/>
    </row>
    <row r="197" spans="1:265" s="45" customFormat="1">
      <c r="A197" s="370" t="s">
        <v>46</v>
      </c>
      <c r="B197" s="14">
        <f>COUNTIF(Ville,"*Entre-Deux*")</f>
        <v>6</v>
      </c>
      <c r="C197" s="14">
        <f t="shared" ref="C197:C206" si="302">SUMPRODUCT((Ville=A197)*(Nlgts))</f>
        <v>127</v>
      </c>
      <c r="D197" s="14"/>
      <c r="E197" s="14"/>
      <c r="F197" s="14"/>
      <c r="G197" s="280"/>
      <c r="H197" s="32"/>
      <c r="I197" s="32"/>
      <c r="J197" s="32"/>
      <c r="K197" s="339"/>
      <c r="L197" s="209"/>
      <c r="M197" s="209"/>
      <c r="N197" s="209"/>
      <c r="O197" s="14"/>
      <c r="P197" s="14"/>
      <c r="Q197" s="14"/>
      <c r="R197" s="14"/>
      <c r="S197" s="14"/>
      <c r="T197" s="14"/>
      <c r="U197" s="14"/>
      <c r="V197" s="14"/>
      <c r="W197" s="14"/>
      <c r="X197" s="14"/>
      <c r="Y197" s="14"/>
      <c r="Z197" s="14"/>
      <c r="AA197" s="14"/>
      <c r="AB197" s="14"/>
      <c r="AC197" s="14"/>
      <c r="AD197" s="14"/>
      <c r="AE197" s="14"/>
      <c r="AF197" s="14"/>
      <c r="AG197" s="14"/>
      <c r="AH197" s="14"/>
      <c r="AI197" s="14"/>
      <c r="AJ197" s="14"/>
      <c r="AK197" s="14"/>
      <c r="AL197" s="14"/>
      <c r="AM197" s="14"/>
      <c r="AN197" s="14"/>
      <c r="AO197" s="14"/>
      <c r="AP197" s="14"/>
      <c r="AQ197" s="14"/>
      <c r="AR197" s="153"/>
      <c r="AS197" s="32"/>
      <c r="AT197" s="14"/>
      <c r="AU197" s="14"/>
      <c r="AV197" s="14"/>
      <c r="AW197" s="14"/>
      <c r="AX197" s="14"/>
      <c r="AY197" s="190"/>
      <c r="AZ197" s="190"/>
      <c r="BA197" s="190"/>
      <c r="BB197" s="190"/>
      <c r="BC197" s="190"/>
      <c r="BD197" s="190"/>
      <c r="BE197" s="190"/>
      <c r="BF197" s="190"/>
      <c r="BG197" s="190"/>
      <c r="BH197" s="190"/>
      <c r="BI197" s="190"/>
      <c r="BJ197" s="190"/>
      <c r="BK197" s="190"/>
      <c r="BL197" s="190"/>
      <c r="BM197" s="190"/>
      <c r="BN197" s="190"/>
      <c r="BO197" s="190"/>
      <c r="BP197" s="190"/>
      <c r="BQ197" s="190"/>
      <c r="BR197" s="190"/>
      <c r="BS197" s="190"/>
      <c r="BT197" s="191"/>
      <c r="BU197" s="190"/>
      <c r="BV197" s="236"/>
      <c r="BW197" s="236"/>
      <c r="BX197" s="190"/>
      <c r="BY197" s="190"/>
      <c r="BZ197" s="190"/>
      <c r="CA197" s="190"/>
      <c r="CB197" s="190"/>
      <c r="CC197" s="679"/>
      <c r="CD197" s="14"/>
      <c r="CE197" s="14"/>
      <c r="CF197" s="14"/>
      <c r="CG197" s="14"/>
      <c r="CH197" s="243"/>
      <c r="CI197" s="243"/>
      <c r="CJ197" s="14"/>
      <c r="CK197" s="14"/>
      <c r="CL197" s="14"/>
      <c r="CM197" s="14"/>
      <c r="CN197" s="14"/>
      <c r="CO197" s="14"/>
      <c r="CP197" s="14"/>
      <c r="CQ197" s="14"/>
      <c r="CR197" s="14"/>
      <c r="CS197" s="14"/>
      <c r="CT197" s="14"/>
      <c r="CU197" s="14"/>
      <c r="CV197" s="14"/>
      <c r="CW197" s="14"/>
      <c r="CX197" s="366"/>
      <c r="CY197" s="14"/>
      <c r="CZ197" s="14"/>
      <c r="DA197" s="14"/>
      <c r="DB197" s="14"/>
      <c r="DC197" s="14"/>
      <c r="DD197" s="14"/>
      <c r="DE197" s="14"/>
      <c r="DF197" s="14"/>
      <c r="DG197" s="14"/>
      <c r="DH197" s="14"/>
      <c r="DI197" s="14"/>
      <c r="DJ197" s="14"/>
      <c r="DK197" s="14"/>
      <c r="DL197" s="14"/>
      <c r="DM197" s="14"/>
      <c r="DN197" s="14"/>
      <c r="DO197" s="14"/>
      <c r="DP197" s="14"/>
      <c r="DQ197" s="14"/>
      <c r="DR197" s="14"/>
      <c r="DS197" s="14"/>
      <c r="DT197" s="634"/>
      <c r="DU197" s="634"/>
      <c r="DV197" s="33"/>
      <c r="DW197" s="14"/>
      <c r="DX197" s="634"/>
      <c r="DY197" s="14"/>
      <c r="DZ197" s="634"/>
      <c r="EA197" s="14"/>
      <c r="EB197" s="14"/>
      <c r="EC197" s="14"/>
      <c r="ED197" s="14"/>
      <c r="EE197" s="14"/>
      <c r="EF197" s="634"/>
      <c r="EG197" s="634"/>
      <c r="EH197" s="14"/>
      <c r="EI197" s="634"/>
      <c r="EJ197" s="634"/>
      <c r="EK197" s="634"/>
      <c r="EL197" s="14"/>
      <c r="EM197" s="634"/>
      <c r="EN197" s="634"/>
      <c r="EO197" s="14"/>
      <c r="EP197" s="634"/>
      <c r="EQ197" s="634"/>
      <c r="ER197" s="33"/>
      <c r="ES197" s="634"/>
      <c r="ET197" s="634"/>
      <c r="EU197" s="14"/>
      <c r="EV197" s="634"/>
      <c r="EW197" s="634"/>
      <c r="EX197" s="14"/>
      <c r="EY197" s="634"/>
      <c r="EZ197" s="634"/>
      <c r="FA197" s="14"/>
      <c r="FB197" s="634"/>
      <c r="FC197" s="634"/>
      <c r="FD197" s="14"/>
      <c r="FE197" s="634"/>
      <c r="FF197" s="634"/>
      <c r="FG197" s="14"/>
      <c r="FH197" s="634"/>
      <c r="FI197" s="634"/>
      <c r="FJ197" s="14"/>
      <c r="FK197" s="634"/>
      <c r="FL197" s="634"/>
      <c r="FM197" s="634"/>
      <c r="FN197" s="634"/>
      <c r="FO197" s="634"/>
      <c r="FP197" s="14"/>
      <c r="FQ197" s="634"/>
      <c r="FR197" s="634"/>
      <c r="FS197" s="668"/>
      <c r="FT197" s="668"/>
      <c r="FU197" s="668"/>
      <c r="FV197" s="668"/>
      <c r="FZ197" s="659"/>
      <c r="GA197" s="659"/>
      <c r="GC197" s="190"/>
      <c r="GD197" s="726"/>
      <c r="GE197" s="14"/>
      <c r="GF197" s="14"/>
      <c r="GG197" s="14"/>
      <c r="GH197" s="14"/>
      <c r="GI197" s="14"/>
      <c r="GJ197" s="14"/>
      <c r="GK197" s="14"/>
      <c r="GL197" s="14"/>
      <c r="GM197" s="14"/>
      <c r="GN197" s="14"/>
      <c r="GO197" s="14"/>
      <c r="GP197" s="14"/>
      <c r="GQ197" s="14"/>
      <c r="GR197" s="14"/>
      <c r="GS197" s="14"/>
      <c r="GT197" s="14"/>
      <c r="GU197" s="14"/>
      <c r="GV197" s="14"/>
      <c r="GW197" s="14"/>
      <c r="GX197" s="14"/>
      <c r="GY197" s="14"/>
      <c r="GZ197" s="14"/>
      <c r="HA197" s="14"/>
      <c r="HB197" s="14"/>
      <c r="HC197" s="14"/>
      <c r="HD197" s="14"/>
      <c r="HE197" s="14"/>
      <c r="HF197" s="14"/>
      <c r="HG197" s="14"/>
      <c r="HH197" s="14"/>
      <c r="HI197" s="14"/>
      <c r="HJ197" s="14"/>
      <c r="HK197" s="14"/>
      <c r="HL197" s="14"/>
      <c r="HM197" s="14"/>
      <c r="HN197" s="14"/>
      <c r="HO197" s="14"/>
      <c r="HP197" s="14"/>
      <c r="HQ197" s="14"/>
      <c r="HR197" s="14"/>
      <c r="HS197" s="14"/>
      <c r="HT197" s="14"/>
      <c r="HU197" s="14"/>
      <c r="HV197" s="14"/>
      <c r="HW197" s="14"/>
      <c r="HX197" s="14"/>
      <c r="HY197" s="14"/>
      <c r="HZ197" s="14"/>
      <c r="IA197" s="14"/>
      <c r="IB197" s="14"/>
      <c r="IC197" s="14"/>
      <c r="ID197" s="14"/>
      <c r="IE197" s="14"/>
      <c r="IF197" s="14"/>
      <c r="IG197" s="14"/>
      <c r="IH197" s="14"/>
      <c r="II197" s="14"/>
      <c r="IJ197" s="14"/>
      <c r="IK197" s="14"/>
      <c r="IL197" s="14"/>
      <c r="IM197" s="14"/>
      <c r="IN197" s="14"/>
      <c r="IO197" s="14"/>
      <c r="IP197" s="14"/>
      <c r="IQ197" s="14"/>
      <c r="IR197" s="14"/>
      <c r="IS197" s="14"/>
      <c r="IT197" s="14"/>
      <c r="IU197" s="14"/>
      <c r="IV197" s="14"/>
      <c r="IW197" s="14"/>
      <c r="IX197" s="14"/>
      <c r="IY197" s="14"/>
      <c r="IZ197" s="14"/>
      <c r="JA197" s="14"/>
      <c r="JB197" s="14"/>
      <c r="JC197" s="14"/>
      <c r="JD197" s="14"/>
      <c r="JE197" s="14"/>
    </row>
    <row r="198" spans="1:265" s="45" customFormat="1">
      <c r="A198" s="370" t="s">
        <v>40</v>
      </c>
      <c r="B198" s="14">
        <f>COUNTIF(Ville,"*Etang-Salé*")</f>
        <v>9</v>
      </c>
      <c r="C198" s="14">
        <f t="shared" si="302"/>
        <v>196</v>
      </c>
      <c r="D198" s="14"/>
      <c r="E198" s="14"/>
      <c r="F198" s="14"/>
      <c r="G198" s="14"/>
      <c r="H198" s="14"/>
      <c r="I198" s="14"/>
      <c r="J198" s="14"/>
      <c r="K198" s="339"/>
      <c r="L198" s="209"/>
      <c r="M198" s="209"/>
      <c r="N198" s="209"/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  <c r="AA198" s="14"/>
      <c r="AB198" s="14"/>
      <c r="AC198" s="14"/>
      <c r="AD198" s="14"/>
      <c r="AE198" s="14"/>
      <c r="AF198" s="14"/>
      <c r="AG198" s="14"/>
      <c r="AH198" s="14"/>
      <c r="AI198" s="14"/>
      <c r="AJ198" s="14"/>
      <c r="AK198" s="14"/>
      <c r="AL198" s="14"/>
      <c r="AM198" s="14"/>
      <c r="AN198" s="14"/>
      <c r="AO198" s="14"/>
      <c r="AP198" s="14"/>
      <c r="AQ198" s="14"/>
      <c r="AR198" s="153"/>
      <c r="AS198" s="32"/>
      <c r="AT198" s="14"/>
      <c r="AU198" s="14"/>
      <c r="AV198" s="14"/>
      <c r="AW198" s="14"/>
      <c r="AX198" s="14"/>
      <c r="AY198" s="190"/>
      <c r="AZ198" s="190"/>
      <c r="BA198" s="190"/>
      <c r="BB198" s="190"/>
      <c r="BC198" s="190"/>
      <c r="BD198" s="190"/>
      <c r="BE198" s="190"/>
      <c r="BF198" s="190"/>
      <c r="BG198" s="190"/>
      <c r="BH198" s="190"/>
      <c r="BI198" s="190"/>
      <c r="BJ198" s="190"/>
      <c r="BK198" s="190"/>
      <c r="BL198" s="190"/>
      <c r="BM198" s="190"/>
      <c r="BN198" s="190"/>
      <c r="BO198" s="190"/>
      <c r="BP198" s="190"/>
      <c r="BQ198" s="190"/>
      <c r="BR198" s="190"/>
      <c r="BS198" s="190"/>
      <c r="BT198" s="191"/>
      <c r="BU198" s="190"/>
      <c r="BV198" s="236"/>
      <c r="BW198" s="236"/>
      <c r="BX198" s="190"/>
      <c r="BY198" s="190"/>
      <c r="BZ198" s="190"/>
      <c r="CA198" s="190"/>
      <c r="CB198" s="190"/>
      <c r="CC198" s="679"/>
      <c r="CD198" s="14"/>
      <c r="CE198" s="14"/>
      <c r="CF198" s="14"/>
      <c r="CG198" s="14"/>
      <c r="CH198" s="243"/>
      <c r="CI198" s="243"/>
      <c r="CJ198" s="14"/>
      <c r="CK198" s="14"/>
      <c r="CL198" s="14"/>
      <c r="CM198" s="14"/>
      <c r="CN198" s="14"/>
      <c r="CO198" s="14"/>
      <c r="CP198" s="14"/>
      <c r="CQ198" s="14"/>
      <c r="CR198" s="14"/>
      <c r="CS198" s="14"/>
      <c r="CT198" s="14"/>
      <c r="CU198" s="14"/>
      <c r="CV198" s="14"/>
      <c r="CW198" s="14"/>
      <c r="CX198" s="366"/>
      <c r="CY198" s="14"/>
      <c r="CZ198" s="14"/>
      <c r="DA198" s="14"/>
      <c r="DB198" s="14"/>
      <c r="DC198" s="14"/>
      <c r="DD198" s="14"/>
      <c r="DE198" s="14"/>
      <c r="DF198" s="14"/>
      <c r="DG198" s="14"/>
      <c r="DH198" s="14"/>
      <c r="DI198" s="14"/>
      <c r="DJ198" s="14"/>
      <c r="DK198" s="14"/>
      <c r="DL198" s="14"/>
      <c r="DM198" s="14"/>
      <c r="DN198" s="14"/>
      <c r="DO198" s="14"/>
      <c r="DP198" s="14"/>
      <c r="DQ198" s="14"/>
      <c r="DR198" s="14"/>
      <c r="DS198" s="14"/>
      <c r="DT198" s="634"/>
      <c r="DU198" s="634"/>
      <c r="DV198" s="33"/>
      <c r="DW198" s="14"/>
      <c r="DX198" s="634"/>
      <c r="DY198" s="14"/>
      <c r="DZ198" s="634"/>
      <c r="EA198" s="14"/>
      <c r="EB198" s="14"/>
      <c r="EC198" s="14"/>
      <c r="ED198" s="14"/>
      <c r="EE198" s="14"/>
      <c r="EF198" s="634"/>
      <c r="EG198" s="634"/>
      <c r="EH198" s="14"/>
      <c r="EI198" s="634"/>
      <c r="EJ198" s="634"/>
      <c r="EK198" s="634"/>
      <c r="EL198" s="14"/>
      <c r="EM198" s="634"/>
      <c r="EN198" s="634"/>
      <c r="EO198" s="14"/>
      <c r="EP198" s="634"/>
      <c r="EQ198" s="634"/>
      <c r="ER198" s="33"/>
      <c r="ES198" s="634"/>
      <c r="ET198" s="634"/>
      <c r="EU198" s="14"/>
      <c r="EV198" s="634"/>
      <c r="EW198" s="634"/>
      <c r="EX198" s="14"/>
      <c r="EY198" s="634"/>
      <c r="EZ198" s="634"/>
      <c r="FA198" s="14"/>
      <c r="FB198" s="634"/>
      <c r="FC198" s="634"/>
      <c r="FD198" s="14"/>
      <c r="FE198" s="634"/>
      <c r="FF198" s="634"/>
      <c r="FG198" s="14"/>
      <c r="FH198" s="634"/>
      <c r="FI198" s="634"/>
      <c r="FJ198" s="14"/>
      <c r="FK198" s="634"/>
      <c r="FL198" s="634"/>
      <c r="FM198" s="634"/>
      <c r="FN198" s="634"/>
      <c r="FO198" s="634"/>
      <c r="FP198" s="14"/>
      <c r="FQ198" s="634"/>
      <c r="FR198" s="634"/>
      <c r="FS198" s="668"/>
      <c r="FT198" s="668"/>
      <c r="FU198" s="668"/>
      <c r="FV198" s="668"/>
      <c r="FZ198" s="659"/>
      <c r="GA198" s="659"/>
      <c r="GC198" s="190"/>
      <c r="GD198" s="726"/>
      <c r="GE198" s="14"/>
      <c r="GF198" s="14"/>
      <c r="GG198" s="14"/>
      <c r="GH198" s="14"/>
      <c r="GI198" s="14"/>
      <c r="GJ198" s="14"/>
      <c r="GK198" s="14"/>
      <c r="GL198" s="14"/>
      <c r="GM198" s="14"/>
      <c r="GN198" s="14"/>
      <c r="GO198" s="14"/>
      <c r="GP198" s="14"/>
      <c r="GQ198" s="14"/>
      <c r="GR198" s="14"/>
      <c r="GS198" s="14"/>
      <c r="GT198" s="14"/>
      <c r="GU198" s="14"/>
      <c r="GV198" s="14"/>
      <c r="GW198" s="14"/>
      <c r="GX198" s="14"/>
      <c r="GY198" s="14"/>
      <c r="GZ198" s="14"/>
      <c r="HA198" s="14"/>
      <c r="HB198" s="14"/>
      <c r="HC198" s="14"/>
      <c r="HD198" s="14"/>
      <c r="HE198" s="14"/>
      <c r="HF198" s="14"/>
      <c r="HG198" s="14"/>
      <c r="HH198" s="14"/>
      <c r="HI198" s="14"/>
      <c r="HJ198" s="14"/>
      <c r="HK198" s="14"/>
      <c r="HL198" s="14"/>
      <c r="HM198" s="14"/>
      <c r="HN198" s="14"/>
      <c r="HO198" s="14"/>
      <c r="HP198" s="14"/>
      <c r="HQ198" s="14"/>
      <c r="HR198" s="14"/>
      <c r="HS198" s="14"/>
      <c r="HT198" s="14"/>
      <c r="HU198" s="14"/>
      <c r="HV198" s="14"/>
      <c r="HW198" s="14"/>
      <c r="HX198" s="14"/>
      <c r="HY198" s="14"/>
      <c r="HZ198" s="14"/>
      <c r="IA198" s="14"/>
      <c r="IB198" s="14"/>
      <c r="IC198" s="14"/>
      <c r="ID198" s="14"/>
      <c r="IE198" s="14"/>
      <c r="IF198" s="14"/>
      <c r="IG198" s="14"/>
      <c r="IH198" s="14"/>
      <c r="II198" s="14"/>
      <c r="IJ198" s="14"/>
      <c r="IK198" s="14"/>
      <c r="IL198" s="14"/>
      <c r="IM198" s="14"/>
      <c r="IN198" s="14"/>
      <c r="IO198" s="14"/>
      <c r="IP198" s="14"/>
      <c r="IQ198" s="14"/>
      <c r="IR198" s="14"/>
      <c r="IS198" s="14"/>
      <c r="IT198" s="14"/>
      <c r="IU198" s="14"/>
      <c r="IV198" s="14"/>
      <c r="IW198" s="14"/>
      <c r="IX198" s="14"/>
      <c r="IY198" s="14"/>
      <c r="IZ198" s="14"/>
      <c r="JA198" s="14"/>
      <c r="JB198" s="14"/>
      <c r="JC198" s="14"/>
      <c r="JD198" s="14"/>
      <c r="JE198" s="14"/>
    </row>
    <row r="199" spans="1:265" s="45" customFormat="1">
      <c r="A199" s="370" t="s">
        <v>82</v>
      </c>
      <c r="B199" s="14">
        <f>COUNTIF(Ville,"*Petite-Ile*")</f>
        <v>5</v>
      </c>
      <c r="C199" s="14">
        <f t="shared" si="302"/>
        <v>108</v>
      </c>
      <c r="D199" s="14"/>
      <c r="E199" s="14"/>
      <c r="F199" s="14"/>
      <c r="G199" s="14"/>
      <c r="H199" s="14"/>
      <c r="I199" s="14"/>
      <c r="J199" s="14"/>
      <c r="K199" s="339"/>
      <c r="L199" s="209"/>
      <c r="M199" s="209"/>
      <c r="N199" s="209"/>
      <c r="O199" s="14"/>
      <c r="P199" s="14"/>
      <c r="Q199" s="14"/>
      <c r="R199" s="14"/>
      <c r="S199" s="14"/>
      <c r="T199" s="14"/>
      <c r="U199" s="14"/>
      <c r="V199" s="14"/>
      <c r="W199" s="14"/>
      <c r="X199" s="14"/>
      <c r="Y199" s="14"/>
      <c r="Z199" s="14"/>
      <c r="AA199" s="14"/>
      <c r="AB199" s="14"/>
      <c r="AC199" s="14"/>
      <c r="AD199" s="14"/>
      <c r="AE199" s="14"/>
      <c r="AF199" s="14"/>
      <c r="AG199" s="14"/>
      <c r="AH199" s="14"/>
      <c r="AI199" s="14"/>
      <c r="AJ199" s="14"/>
      <c r="AK199" s="14"/>
      <c r="AL199" s="14"/>
      <c r="AM199" s="14"/>
      <c r="AN199" s="14"/>
      <c r="AO199" s="14"/>
      <c r="AP199" s="14"/>
      <c r="AQ199" s="14"/>
      <c r="AR199" s="153"/>
      <c r="AS199" s="32"/>
      <c r="AT199" s="14"/>
      <c r="AU199" s="14"/>
      <c r="AV199" s="14"/>
      <c r="AW199" s="14"/>
      <c r="AX199" s="14"/>
      <c r="AY199" s="190"/>
      <c r="AZ199" s="190"/>
      <c r="BA199" s="190"/>
      <c r="BB199" s="190"/>
      <c r="BC199" s="190"/>
      <c r="BD199" s="190"/>
      <c r="BE199" s="190"/>
      <c r="BF199" s="190"/>
      <c r="BG199" s="190"/>
      <c r="BH199" s="190"/>
      <c r="BI199" s="190"/>
      <c r="BJ199" s="190"/>
      <c r="BK199" s="190"/>
      <c r="BL199" s="190"/>
      <c r="BM199" s="190"/>
      <c r="BN199" s="190"/>
      <c r="BO199" s="190"/>
      <c r="BP199" s="190"/>
      <c r="BQ199" s="190"/>
      <c r="BR199" s="190"/>
      <c r="BS199" s="190"/>
      <c r="BT199" s="191"/>
      <c r="BU199" s="190"/>
      <c r="BV199" s="236"/>
      <c r="BW199" s="236"/>
      <c r="BX199" s="190"/>
      <c r="BY199" s="190"/>
      <c r="BZ199" s="190"/>
      <c r="CA199" s="190"/>
      <c r="CB199" s="190"/>
      <c r="CC199" s="679"/>
      <c r="CD199" s="14"/>
      <c r="CE199" s="14"/>
      <c r="CF199" s="14"/>
      <c r="CG199" s="14"/>
      <c r="CH199" s="243"/>
      <c r="CI199" s="243"/>
      <c r="CJ199" s="14"/>
      <c r="CK199" s="14"/>
      <c r="CL199" s="14"/>
      <c r="CM199" s="14"/>
      <c r="CN199" s="14"/>
      <c r="CO199" s="14"/>
      <c r="CP199" s="14"/>
      <c r="CQ199" s="14"/>
      <c r="CR199" s="14"/>
      <c r="CS199" s="14"/>
      <c r="CT199" s="14"/>
      <c r="CU199" s="14"/>
      <c r="CV199" s="14"/>
      <c r="CW199" s="14"/>
      <c r="CX199" s="366"/>
      <c r="CY199" s="14"/>
      <c r="CZ199" s="14"/>
      <c r="DA199" s="14"/>
      <c r="DB199" s="14"/>
      <c r="DC199" s="14"/>
      <c r="DD199" s="14"/>
      <c r="DE199" s="14"/>
      <c r="DF199" s="14"/>
      <c r="DG199" s="14"/>
      <c r="DH199" s="14"/>
      <c r="DI199" s="14"/>
      <c r="DJ199" s="14"/>
      <c r="DK199" s="14"/>
      <c r="DL199" s="14"/>
      <c r="DM199" s="14"/>
      <c r="DN199" s="14"/>
      <c r="DO199" s="14"/>
      <c r="DP199" s="14"/>
      <c r="DQ199" s="14"/>
      <c r="DR199" s="14"/>
      <c r="DS199" s="14"/>
      <c r="DT199" s="634"/>
      <c r="DU199" s="634"/>
      <c r="DV199" s="33"/>
      <c r="DW199" s="14"/>
      <c r="DX199" s="634"/>
      <c r="DY199" s="14"/>
      <c r="DZ199" s="634"/>
      <c r="EA199" s="14"/>
      <c r="EB199" s="14"/>
      <c r="EC199" s="14"/>
      <c r="ED199" s="14"/>
      <c r="EE199" s="14"/>
      <c r="EF199" s="634"/>
      <c r="EG199" s="634"/>
      <c r="EH199" s="14"/>
      <c r="EI199" s="634"/>
      <c r="EJ199" s="634"/>
      <c r="EK199" s="634"/>
      <c r="EL199" s="14"/>
      <c r="EM199" s="634"/>
      <c r="EN199" s="634"/>
      <c r="EO199" s="14"/>
      <c r="EP199" s="634"/>
      <c r="EQ199" s="634"/>
      <c r="ER199" s="33"/>
      <c r="ES199" s="634"/>
      <c r="ET199" s="634"/>
      <c r="EU199" s="14"/>
      <c r="EV199" s="634"/>
      <c r="EW199" s="634"/>
      <c r="EX199" s="14"/>
      <c r="EY199" s="634"/>
      <c r="EZ199" s="634"/>
      <c r="FA199" s="14"/>
      <c r="FB199" s="634"/>
      <c r="FC199" s="634"/>
      <c r="FD199" s="14"/>
      <c r="FE199" s="634"/>
      <c r="FF199" s="634"/>
      <c r="FG199" s="14"/>
      <c r="FH199" s="634"/>
      <c r="FI199" s="634"/>
      <c r="FJ199" s="14"/>
      <c r="FK199" s="634"/>
      <c r="FL199" s="634"/>
      <c r="FM199" s="634"/>
      <c r="FN199" s="634"/>
      <c r="FO199" s="634"/>
      <c r="FP199" s="14"/>
      <c r="FQ199" s="634"/>
      <c r="FR199" s="634"/>
      <c r="FS199" s="668"/>
      <c r="FT199" s="668"/>
      <c r="FU199" s="668"/>
      <c r="FV199" s="668"/>
      <c r="FZ199" s="659"/>
      <c r="GA199" s="659"/>
      <c r="GC199" s="190"/>
      <c r="GD199" s="726"/>
      <c r="GE199" s="14"/>
      <c r="GF199" s="14"/>
      <c r="GG199" s="14"/>
      <c r="GH199" s="14"/>
      <c r="GI199" s="14"/>
      <c r="GJ199" s="14"/>
      <c r="GK199" s="14"/>
      <c r="GL199" s="14"/>
      <c r="GM199" s="14"/>
      <c r="GN199" s="14"/>
      <c r="GO199" s="14"/>
      <c r="GP199" s="14"/>
      <c r="GQ199" s="14"/>
      <c r="GR199" s="14"/>
      <c r="GS199" s="14"/>
      <c r="GT199" s="14"/>
      <c r="GU199" s="14"/>
      <c r="GV199" s="14"/>
      <c r="GW199" s="14"/>
      <c r="GX199" s="14"/>
      <c r="GY199" s="14"/>
      <c r="GZ199" s="14"/>
      <c r="HA199" s="14"/>
      <c r="HB199" s="14"/>
      <c r="HC199" s="14"/>
      <c r="HD199" s="14"/>
      <c r="HE199" s="14"/>
      <c r="HF199" s="14"/>
      <c r="HG199" s="14"/>
      <c r="HH199" s="14"/>
      <c r="HI199" s="14"/>
      <c r="HJ199" s="14"/>
      <c r="HK199" s="14"/>
      <c r="HL199" s="14"/>
      <c r="HM199" s="14"/>
      <c r="HN199" s="14"/>
      <c r="HO199" s="14"/>
      <c r="HP199" s="14"/>
      <c r="HQ199" s="14"/>
      <c r="HR199" s="14"/>
      <c r="HS199" s="14"/>
      <c r="HT199" s="14"/>
      <c r="HU199" s="14"/>
      <c r="HV199" s="14"/>
      <c r="HW199" s="14"/>
      <c r="HX199" s="14"/>
      <c r="HY199" s="14"/>
      <c r="HZ199" s="14"/>
      <c r="IA199" s="14"/>
      <c r="IB199" s="14"/>
      <c r="IC199" s="14"/>
      <c r="ID199" s="14"/>
      <c r="IE199" s="14"/>
      <c r="IF199" s="14"/>
      <c r="IG199" s="14"/>
      <c r="IH199" s="14"/>
      <c r="II199" s="14"/>
      <c r="IJ199" s="14"/>
      <c r="IK199" s="14"/>
      <c r="IL199" s="14"/>
      <c r="IM199" s="14"/>
      <c r="IN199" s="14"/>
      <c r="IO199" s="14"/>
      <c r="IP199" s="14"/>
      <c r="IQ199" s="14"/>
      <c r="IR199" s="14"/>
      <c r="IS199" s="14"/>
      <c r="IT199" s="14"/>
      <c r="IU199" s="14"/>
      <c r="IV199" s="14"/>
      <c r="IW199" s="14"/>
      <c r="IX199" s="14"/>
      <c r="IY199" s="14"/>
      <c r="IZ199" s="14"/>
      <c r="JA199" s="14"/>
      <c r="JB199" s="14"/>
      <c r="JC199" s="14"/>
      <c r="JD199" s="14"/>
      <c r="JE199" s="14"/>
    </row>
    <row r="200" spans="1:265" s="45" customFormat="1">
      <c r="A200" s="370" t="s">
        <v>28</v>
      </c>
      <c r="B200" s="14">
        <f>COUNTIF(Ville,"*St Joseph*")</f>
        <v>17</v>
      </c>
      <c r="C200" s="14">
        <f t="shared" si="302"/>
        <v>451</v>
      </c>
      <c r="D200" s="14"/>
      <c r="E200" s="14"/>
      <c r="F200" s="14"/>
      <c r="G200" s="14"/>
      <c r="H200" s="14"/>
      <c r="I200" s="14"/>
      <c r="J200" s="14"/>
      <c r="K200" s="339"/>
      <c r="L200" s="209"/>
      <c r="M200" s="209"/>
      <c r="N200" s="209"/>
      <c r="O200" s="14"/>
      <c r="P200" s="14"/>
      <c r="Q200" s="14"/>
      <c r="R200" s="14"/>
      <c r="S200" s="14"/>
      <c r="T200" s="14"/>
      <c r="U200" s="14"/>
      <c r="V200" s="14"/>
      <c r="W200" s="14"/>
      <c r="X200" s="14"/>
      <c r="Y200" s="14"/>
      <c r="Z200" s="14"/>
      <c r="AA200" s="14"/>
      <c r="AB200" s="14"/>
      <c r="AC200" s="14"/>
      <c r="AD200" s="14"/>
      <c r="AE200" s="14"/>
      <c r="AF200" s="14"/>
      <c r="AG200" s="14"/>
      <c r="AH200" s="14"/>
      <c r="AI200" s="14"/>
      <c r="AJ200" s="14"/>
      <c r="AK200" s="14"/>
      <c r="AL200" s="14"/>
      <c r="AM200" s="14"/>
      <c r="AN200" s="14"/>
      <c r="AO200" s="14"/>
      <c r="AP200" s="14"/>
      <c r="AQ200" s="14"/>
      <c r="AR200" s="153"/>
      <c r="AS200" s="32"/>
      <c r="AT200" s="14"/>
      <c r="AU200" s="14"/>
      <c r="AV200" s="14"/>
      <c r="AW200" s="14"/>
      <c r="AX200" s="14"/>
      <c r="AY200" s="190"/>
      <c r="AZ200" s="190"/>
      <c r="BA200" s="190"/>
      <c r="BB200" s="190"/>
      <c r="BC200" s="190"/>
      <c r="BD200" s="190"/>
      <c r="BE200" s="190"/>
      <c r="BF200" s="190"/>
      <c r="BG200" s="190"/>
      <c r="BH200" s="190"/>
      <c r="BI200" s="190"/>
      <c r="BJ200" s="190"/>
      <c r="BK200" s="190"/>
      <c r="BL200" s="190"/>
      <c r="BM200" s="190"/>
      <c r="BN200" s="190"/>
      <c r="BO200" s="190"/>
      <c r="BP200" s="190"/>
      <c r="BQ200" s="190"/>
      <c r="BR200" s="190"/>
      <c r="BS200" s="190"/>
      <c r="BT200" s="191"/>
      <c r="BU200" s="190"/>
      <c r="BV200" s="236"/>
      <c r="BW200" s="236"/>
      <c r="BX200" s="190"/>
      <c r="BY200" s="190"/>
      <c r="BZ200" s="190"/>
      <c r="CA200" s="190"/>
      <c r="CB200" s="190"/>
      <c r="CC200" s="679"/>
      <c r="CD200" s="14"/>
      <c r="CE200" s="14"/>
      <c r="CF200" s="14"/>
      <c r="CG200" s="14"/>
      <c r="CH200" s="243"/>
      <c r="CI200" s="243"/>
      <c r="CJ200" s="14"/>
      <c r="CK200" s="14"/>
      <c r="CL200" s="14"/>
      <c r="CM200" s="14"/>
      <c r="CN200" s="14"/>
      <c r="CO200" s="14"/>
      <c r="CP200" s="14"/>
      <c r="CQ200" s="14"/>
      <c r="CR200" s="14"/>
      <c r="CS200" s="14"/>
      <c r="CT200" s="14"/>
      <c r="CU200" s="14"/>
      <c r="CV200" s="14"/>
      <c r="CW200" s="14"/>
      <c r="CX200" s="366"/>
      <c r="CY200" s="14"/>
      <c r="CZ200" s="14"/>
      <c r="DA200" s="14"/>
      <c r="DB200" s="14"/>
      <c r="DC200" s="14"/>
      <c r="DD200" s="14"/>
      <c r="DE200" s="14"/>
      <c r="DF200" s="14"/>
      <c r="DG200" s="14"/>
      <c r="DH200" s="14"/>
      <c r="DI200" s="14"/>
      <c r="DJ200" s="14"/>
      <c r="DK200" s="14"/>
      <c r="DL200" s="14"/>
      <c r="DM200" s="14"/>
      <c r="DN200" s="14"/>
      <c r="DO200" s="14"/>
      <c r="DP200" s="14"/>
      <c r="DQ200" s="14"/>
      <c r="DR200" s="14"/>
      <c r="DS200" s="14"/>
      <c r="DT200" s="634"/>
      <c r="DU200" s="634"/>
      <c r="DV200" s="33"/>
      <c r="DW200" s="14"/>
      <c r="DX200" s="634"/>
      <c r="DY200" s="14"/>
      <c r="DZ200" s="634"/>
      <c r="EA200" s="14"/>
      <c r="EB200" s="14"/>
      <c r="EC200" s="14"/>
      <c r="ED200" s="14"/>
      <c r="EE200" s="14"/>
      <c r="EF200" s="634"/>
      <c r="EG200" s="634"/>
      <c r="EH200" s="14"/>
      <c r="EI200" s="634"/>
      <c r="EJ200" s="634"/>
      <c r="EK200" s="634"/>
      <c r="EL200" s="14"/>
      <c r="EM200" s="634"/>
      <c r="EN200" s="634"/>
      <c r="EO200" s="14"/>
      <c r="EP200" s="634"/>
      <c r="EQ200" s="634"/>
      <c r="ER200" s="33"/>
      <c r="ES200" s="634"/>
      <c r="ET200" s="634"/>
      <c r="EU200" s="14"/>
      <c r="EV200" s="634"/>
      <c r="EW200" s="634"/>
      <c r="EX200" s="14"/>
      <c r="EY200" s="634"/>
      <c r="EZ200" s="634"/>
      <c r="FA200" s="14"/>
      <c r="FB200" s="634"/>
      <c r="FC200" s="634"/>
      <c r="FD200" s="14"/>
      <c r="FE200" s="634"/>
      <c r="FF200" s="634"/>
      <c r="FG200" s="14"/>
      <c r="FH200" s="634"/>
      <c r="FI200" s="634"/>
      <c r="FJ200" s="14"/>
      <c r="FK200" s="634"/>
      <c r="FL200" s="634"/>
      <c r="FM200" s="634"/>
      <c r="FN200" s="634"/>
      <c r="FO200" s="634"/>
      <c r="FP200" s="14"/>
      <c r="FQ200" s="634"/>
      <c r="FR200" s="634"/>
      <c r="FS200" s="668"/>
      <c r="FT200" s="668"/>
      <c r="FU200" s="668"/>
      <c r="FV200" s="668"/>
      <c r="FZ200" s="659"/>
      <c r="GA200" s="659"/>
      <c r="GC200" s="190"/>
      <c r="GD200" s="726"/>
      <c r="GE200" s="14"/>
      <c r="GF200" s="14"/>
      <c r="GG200" s="14"/>
      <c r="GH200" s="14"/>
      <c r="GI200" s="14"/>
      <c r="GJ200" s="14"/>
      <c r="GK200" s="14"/>
      <c r="GL200" s="14"/>
      <c r="GM200" s="14"/>
      <c r="GN200" s="14"/>
      <c r="GO200" s="14"/>
      <c r="GP200" s="14"/>
      <c r="GQ200" s="14"/>
      <c r="GR200" s="14"/>
      <c r="GS200" s="14"/>
      <c r="GT200" s="14"/>
      <c r="GU200" s="14"/>
      <c r="GV200" s="14"/>
      <c r="GW200" s="14"/>
      <c r="GX200" s="14"/>
      <c r="GY200" s="14"/>
      <c r="GZ200" s="14"/>
      <c r="HA200" s="14"/>
      <c r="HB200" s="14"/>
      <c r="HC200" s="14"/>
      <c r="HD200" s="14"/>
      <c r="HE200" s="14"/>
      <c r="HF200" s="14"/>
      <c r="HG200" s="14"/>
      <c r="HH200" s="14"/>
      <c r="HI200" s="14"/>
      <c r="HJ200" s="14"/>
      <c r="HK200" s="14"/>
      <c r="HL200" s="14"/>
      <c r="HM200" s="14"/>
      <c r="HN200" s="14"/>
      <c r="HO200" s="14"/>
      <c r="HP200" s="14"/>
      <c r="HQ200" s="14"/>
      <c r="HR200" s="14"/>
      <c r="HS200" s="14"/>
      <c r="HT200" s="14"/>
      <c r="HU200" s="14"/>
      <c r="HV200" s="14"/>
      <c r="HW200" s="14"/>
      <c r="HX200" s="14"/>
      <c r="HY200" s="14"/>
      <c r="HZ200" s="14"/>
      <c r="IA200" s="14"/>
      <c r="IB200" s="14"/>
      <c r="IC200" s="14"/>
      <c r="ID200" s="14"/>
      <c r="IE200" s="14"/>
      <c r="IF200" s="14"/>
      <c r="IG200" s="14"/>
      <c r="IH200" s="14"/>
      <c r="II200" s="14"/>
      <c r="IJ200" s="14"/>
      <c r="IK200" s="14"/>
      <c r="IL200" s="14"/>
      <c r="IM200" s="14"/>
      <c r="IN200" s="14"/>
      <c r="IO200" s="14"/>
      <c r="IP200" s="14"/>
      <c r="IQ200" s="14"/>
      <c r="IR200" s="14"/>
      <c r="IS200" s="14"/>
      <c r="IT200" s="14"/>
      <c r="IU200" s="14"/>
      <c r="IV200" s="14"/>
      <c r="IW200" s="14"/>
      <c r="IX200" s="14"/>
      <c r="IY200" s="14"/>
      <c r="IZ200" s="14"/>
      <c r="JA200" s="14"/>
      <c r="JB200" s="14"/>
      <c r="JC200" s="14"/>
      <c r="JD200" s="14"/>
      <c r="JE200" s="14"/>
    </row>
    <row r="201" spans="1:265" s="45" customFormat="1">
      <c r="A201" s="370" t="s">
        <v>34</v>
      </c>
      <c r="B201" s="14">
        <f>COUNTIF(Ville,"*St Leu*")</f>
        <v>12</v>
      </c>
      <c r="C201" s="14">
        <f t="shared" si="302"/>
        <v>330</v>
      </c>
      <c r="D201" s="14"/>
      <c r="E201" s="14"/>
      <c r="F201" s="14"/>
      <c r="G201" s="14"/>
      <c r="H201" s="14"/>
      <c r="I201" s="14"/>
      <c r="J201" s="14"/>
      <c r="K201" s="339"/>
      <c r="L201" s="209"/>
      <c r="M201" s="209"/>
      <c r="N201" s="209"/>
      <c r="O201" s="14"/>
      <c r="P201" s="14"/>
      <c r="Q201" s="14"/>
      <c r="R201" s="14"/>
      <c r="S201" s="14"/>
      <c r="T201" s="14"/>
      <c r="U201" s="14"/>
      <c r="V201" s="14"/>
      <c r="W201" s="14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  <c r="AH201" s="14"/>
      <c r="AI201" s="14"/>
      <c r="AJ201" s="14"/>
      <c r="AK201" s="14"/>
      <c r="AL201" s="14"/>
      <c r="AM201" s="14"/>
      <c r="AN201" s="14"/>
      <c r="AO201" s="14"/>
      <c r="AP201" s="14"/>
      <c r="AQ201" s="14"/>
      <c r="AR201" s="153"/>
      <c r="AS201" s="32"/>
      <c r="AT201" s="14"/>
      <c r="AU201" s="14"/>
      <c r="AV201" s="14"/>
      <c r="AW201" s="14"/>
      <c r="AX201" s="14"/>
      <c r="AY201" s="190"/>
      <c r="AZ201" s="190"/>
      <c r="BA201" s="190"/>
      <c r="BB201" s="190"/>
      <c r="BC201" s="190"/>
      <c r="BD201" s="190"/>
      <c r="BE201" s="190"/>
      <c r="BF201" s="190"/>
      <c r="BG201" s="190"/>
      <c r="BH201" s="190"/>
      <c r="BI201" s="190"/>
      <c r="BJ201" s="190"/>
      <c r="BK201" s="190"/>
      <c r="BL201" s="190"/>
      <c r="BM201" s="190"/>
      <c r="BN201" s="190"/>
      <c r="BO201" s="190"/>
      <c r="BP201" s="190"/>
      <c r="BQ201" s="190"/>
      <c r="BR201" s="190"/>
      <c r="BS201" s="190"/>
      <c r="BT201" s="191"/>
      <c r="BU201" s="190"/>
      <c r="BV201" s="236"/>
      <c r="BW201" s="236"/>
      <c r="BX201" s="190"/>
      <c r="BY201" s="190"/>
      <c r="BZ201" s="190"/>
      <c r="CA201" s="190"/>
      <c r="CB201" s="190"/>
      <c r="CC201" s="679"/>
      <c r="CD201" s="14"/>
      <c r="CE201" s="14"/>
      <c r="CF201" s="14"/>
      <c r="CG201" s="14"/>
      <c r="CH201" s="243"/>
      <c r="CI201" s="243"/>
      <c r="CJ201" s="14"/>
      <c r="CK201" s="14"/>
      <c r="CL201" s="14"/>
      <c r="CM201" s="14"/>
      <c r="CN201" s="14"/>
      <c r="CO201" s="14"/>
      <c r="CP201" s="14"/>
      <c r="CQ201" s="14"/>
      <c r="CR201" s="14"/>
      <c r="CS201" s="14"/>
      <c r="CT201" s="14"/>
      <c r="CU201" s="14"/>
      <c r="CV201" s="14"/>
      <c r="CW201" s="14"/>
      <c r="CX201" s="366"/>
      <c r="CY201" s="14"/>
      <c r="CZ201" s="14"/>
      <c r="DA201" s="14"/>
      <c r="DB201" s="14"/>
      <c r="DC201" s="14"/>
      <c r="DD201" s="14"/>
      <c r="DE201" s="14"/>
      <c r="DF201" s="14"/>
      <c r="DG201" s="14"/>
      <c r="DH201" s="14"/>
      <c r="DI201" s="14"/>
      <c r="DJ201" s="14"/>
      <c r="DK201" s="14"/>
      <c r="DL201" s="14"/>
      <c r="DM201" s="14"/>
      <c r="DN201" s="14"/>
      <c r="DO201" s="14"/>
      <c r="DP201" s="14"/>
      <c r="DQ201" s="14"/>
      <c r="DR201" s="14"/>
      <c r="DS201" s="14"/>
      <c r="DT201" s="634"/>
      <c r="DU201" s="634"/>
      <c r="DV201" s="33"/>
      <c r="DW201" s="14"/>
      <c r="DX201" s="634"/>
      <c r="DY201" s="14"/>
      <c r="DZ201" s="634"/>
      <c r="EA201" s="14"/>
      <c r="EB201" s="14"/>
      <c r="EC201" s="14"/>
      <c r="ED201" s="14"/>
      <c r="EE201" s="14"/>
      <c r="EF201" s="634"/>
      <c r="EG201" s="634"/>
      <c r="EH201" s="14"/>
      <c r="EI201" s="634"/>
      <c r="EJ201" s="634"/>
      <c r="EK201" s="634"/>
      <c r="EL201" s="14"/>
      <c r="EM201" s="634"/>
      <c r="EN201" s="634"/>
      <c r="EO201" s="14"/>
      <c r="EP201" s="634"/>
      <c r="EQ201" s="634"/>
      <c r="ER201" s="33"/>
      <c r="ES201" s="634"/>
      <c r="ET201" s="634"/>
      <c r="EU201" s="14"/>
      <c r="EV201" s="634"/>
      <c r="EW201" s="634"/>
      <c r="EX201" s="14"/>
      <c r="EY201" s="634"/>
      <c r="EZ201" s="634"/>
      <c r="FA201" s="14"/>
      <c r="FB201" s="634"/>
      <c r="FC201" s="634"/>
      <c r="FD201" s="14"/>
      <c r="FE201" s="634"/>
      <c r="FF201" s="634"/>
      <c r="FG201" s="14"/>
      <c r="FH201" s="634"/>
      <c r="FI201" s="634"/>
      <c r="FJ201" s="14"/>
      <c r="FK201" s="634"/>
      <c r="FL201" s="634"/>
      <c r="FM201" s="634"/>
      <c r="FN201" s="634"/>
      <c r="FO201" s="634"/>
      <c r="FP201" s="14"/>
      <c r="FQ201" s="634"/>
      <c r="FR201" s="634"/>
      <c r="FS201" s="668"/>
      <c r="FT201" s="668"/>
      <c r="FU201" s="668"/>
      <c r="FV201" s="668"/>
      <c r="FZ201" s="659"/>
      <c r="GA201" s="659"/>
      <c r="GC201" s="190"/>
      <c r="GD201" s="726"/>
      <c r="GE201" s="14"/>
      <c r="GF201" s="14"/>
      <c r="GG201" s="14"/>
      <c r="GH201" s="14"/>
      <c r="GI201" s="14"/>
      <c r="GJ201" s="14"/>
      <c r="GK201" s="14"/>
      <c r="GL201" s="14"/>
      <c r="GM201" s="14"/>
      <c r="GN201" s="14"/>
      <c r="GO201" s="14"/>
      <c r="GP201" s="14"/>
      <c r="GQ201" s="14"/>
      <c r="GR201" s="14"/>
      <c r="GS201" s="14"/>
      <c r="GT201" s="14"/>
      <c r="GU201" s="14"/>
      <c r="GV201" s="14"/>
      <c r="GW201" s="14"/>
      <c r="GX201" s="14"/>
      <c r="GY201" s="14"/>
      <c r="GZ201" s="14"/>
      <c r="HA201" s="14"/>
      <c r="HB201" s="14"/>
      <c r="HC201" s="14"/>
      <c r="HD201" s="14"/>
      <c r="HE201" s="14"/>
      <c r="HF201" s="14"/>
      <c r="HG201" s="14"/>
      <c r="HH201" s="14"/>
      <c r="HI201" s="14"/>
      <c r="HJ201" s="14"/>
      <c r="HK201" s="14"/>
      <c r="HL201" s="14"/>
      <c r="HM201" s="14"/>
      <c r="HN201" s="14"/>
      <c r="HO201" s="14"/>
      <c r="HP201" s="14"/>
      <c r="HQ201" s="14"/>
      <c r="HR201" s="14"/>
      <c r="HS201" s="14"/>
      <c r="HT201" s="14"/>
      <c r="HU201" s="14"/>
      <c r="HV201" s="14"/>
      <c r="HW201" s="14"/>
      <c r="HX201" s="14"/>
      <c r="HY201" s="14"/>
      <c r="HZ201" s="14"/>
      <c r="IA201" s="14"/>
      <c r="IB201" s="14"/>
      <c r="IC201" s="14"/>
      <c r="ID201" s="14"/>
      <c r="IE201" s="14"/>
      <c r="IF201" s="14"/>
      <c r="IG201" s="14"/>
      <c r="IH201" s="14"/>
      <c r="II201" s="14"/>
      <c r="IJ201" s="14"/>
      <c r="IK201" s="14"/>
      <c r="IL201" s="14"/>
      <c r="IM201" s="14"/>
      <c r="IN201" s="14"/>
      <c r="IO201" s="14"/>
      <c r="IP201" s="14"/>
      <c r="IQ201" s="14"/>
      <c r="IR201" s="14"/>
      <c r="IS201" s="14"/>
      <c r="IT201" s="14"/>
      <c r="IU201" s="14"/>
      <c r="IV201" s="14"/>
      <c r="IW201" s="14"/>
      <c r="IX201" s="14"/>
      <c r="IY201" s="14"/>
      <c r="IZ201" s="14"/>
      <c r="JA201" s="14"/>
      <c r="JB201" s="14"/>
      <c r="JC201" s="14"/>
      <c r="JD201" s="14"/>
      <c r="JE201" s="14"/>
    </row>
    <row r="202" spans="1:265" s="45" customFormat="1">
      <c r="A202" s="370" t="s">
        <v>48</v>
      </c>
      <c r="B202" s="14">
        <f>COUNTIF(Ville,"*St Paul*")</f>
        <v>3</v>
      </c>
      <c r="C202" s="14">
        <f t="shared" si="302"/>
        <v>128</v>
      </c>
      <c r="D202" s="14"/>
      <c r="E202" s="14"/>
      <c r="F202" s="14"/>
      <c r="G202" s="14"/>
      <c r="H202" s="14"/>
      <c r="I202" s="14"/>
      <c r="J202" s="14"/>
      <c r="K202" s="339"/>
      <c r="L202" s="209"/>
      <c r="M202" s="209"/>
      <c r="N202" s="209"/>
      <c r="O202" s="14"/>
      <c r="P202" s="14"/>
      <c r="Q202" s="14"/>
      <c r="R202" s="14"/>
      <c r="S202" s="14"/>
      <c r="T202" s="14"/>
      <c r="U202" s="14"/>
      <c r="V202" s="14"/>
      <c r="W202" s="14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  <c r="AH202" s="14"/>
      <c r="AI202" s="14"/>
      <c r="AJ202" s="14"/>
      <c r="AK202" s="14"/>
      <c r="AL202" s="14"/>
      <c r="AM202" s="14"/>
      <c r="AN202" s="14"/>
      <c r="AO202" s="14"/>
      <c r="AP202" s="14"/>
      <c r="AQ202" s="14"/>
      <c r="AR202" s="153"/>
      <c r="AS202" s="32"/>
      <c r="AT202" s="14"/>
      <c r="AU202" s="14"/>
      <c r="AV202" s="14"/>
      <c r="AW202" s="14"/>
      <c r="AX202" s="14"/>
      <c r="AY202" s="190"/>
      <c r="AZ202" s="190"/>
      <c r="BA202" s="190"/>
      <c r="BB202" s="190"/>
      <c r="BC202" s="190"/>
      <c r="BD202" s="190"/>
      <c r="BE202" s="190"/>
      <c r="BF202" s="190"/>
      <c r="BG202" s="190"/>
      <c r="BH202" s="190"/>
      <c r="BI202" s="190"/>
      <c r="BJ202" s="190"/>
      <c r="BK202" s="190"/>
      <c r="BL202" s="190"/>
      <c r="BM202" s="190"/>
      <c r="BN202" s="190"/>
      <c r="BO202" s="190"/>
      <c r="BP202" s="190"/>
      <c r="BQ202" s="190"/>
      <c r="BR202" s="190"/>
      <c r="BS202" s="190"/>
      <c r="BT202" s="191"/>
      <c r="BU202" s="190"/>
      <c r="BV202" s="236"/>
      <c r="BW202" s="236"/>
      <c r="BX202" s="190"/>
      <c r="BY202" s="190"/>
      <c r="BZ202" s="190"/>
      <c r="CA202" s="190"/>
      <c r="CB202" s="190"/>
      <c r="CC202" s="679"/>
      <c r="CD202" s="14"/>
      <c r="CE202" s="14"/>
      <c r="CF202" s="14"/>
      <c r="CG202" s="14"/>
      <c r="CH202" s="243"/>
      <c r="CI202" s="243"/>
      <c r="CJ202" s="14"/>
      <c r="CK202" s="14"/>
      <c r="CL202" s="14"/>
      <c r="CM202" s="14"/>
      <c r="CN202" s="14"/>
      <c r="CO202" s="14"/>
      <c r="CP202" s="14"/>
      <c r="CQ202" s="14"/>
      <c r="CR202" s="14"/>
      <c r="CS202" s="14"/>
      <c r="CT202" s="14"/>
      <c r="CU202" s="14"/>
      <c r="CV202" s="14"/>
      <c r="CW202" s="14"/>
      <c r="CX202" s="366"/>
      <c r="CY202" s="14"/>
      <c r="CZ202" s="14"/>
      <c r="DA202" s="14"/>
      <c r="DB202" s="14"/>
      <c r="DC202" s="14"/>
      <c r="DD202" s="14"/>
      <c r="DE202" s="14"/>
      <c r="DF202" s="14"/>
      <c r="DG202" s="14"/>
      <c r="DH202" s="14"/>
      <c r="DI202" s="14"/>
      <c r="DJ202" s="14"/>
      <c r="DK202" s="14"/>
      <c r="DL202" s="14"/>
      <c r="DM202" s="14"/>
      <c r="DN202" s="14"/>
      <c r="DO202" s="14"/>
      <c r="DP202" s="14"/>
      <c r="DQ202" s="14"/>
      <c r="DR202" s="14"/>
      <c r="DS202" s="14"/>
      <c r="DT202" s="634"/>
      <c r="DU202" s="634"/>
      <c r="DV202" s="33"/>
      <c r="DW202" s="14"/>
      <c r="DX202" s="634"/>
      <c r="DY202" s="14"/>
      <c r="DZ202" s="634"/>
      <c r="EA202" s="14"/>
      <c r="EB202" s="14"/>
      <c r="EC202" s="14"/>
      <c r="ED202" s="14"/>
      <c r="EE202" s="14"/>
      <c r="EF202" s="634"/>
      <c r="EG202" s="634"/>
      <c r="EH202" s="14"/>
      <c r="EI202" s="634"/>
      <c r="EJ202" s="634"/>
      <c r="EK202" s="634"/>
      <c r="EL202" s="14"/>
      <c r="EM202" s="634"/>
      <c r="EN202" s="634"/>
      <c r="EO202" s="14"/>
      <c r="EP202" s="634"/>
      <c r="EQ202" s="634"/>
      <c r="ER202" s="33"/>
      <c r="ES202" s="634"/>
      <c r="ET202" s="634"/>
      <c r="EU202" s="14"/>
      <c r="EV202" s="634"/>
      <c r="EW202" s="634"/>
      <c r="EX202" s="14"/>
      <c r="EY202" s="634"/>
      <c r="EZ202" s="634"/>
      <c r="FA202" s="14"/>
      <c r="FB202" s="634"/>
      <c r="FC202" s="634"/>
      <c r="FD202" s="14"/>
      <c r="FE202" s="634"/>
      <c r="FF202" s="634"/>
      <c r="FG202" s="14"/>
      <c r="FH202" s="634"/>
      <c r="FI202" s="634"/>
      <c r="FJ202" s="14"/>
      <c r="FK202" s="634"/>
      <c r="FL202" s="634"/>
      <c r="FM202" s="634"/>
      <c r="FN202" s="634"/>
      <c r="FO202" s="634"/>
      <c r="FP202" s="14"/>
      <c r="FQ202" s="634"/>
      <c r="FR202" s="634"/>
      <c r="FS202" s="668"/>
      <c r="FT202" s="668"/>
      <c r="FU202" s="668"/>
      <c r="FV202" s="668"/>
      <c r="FZ202" s="659"/>
      <c r="GA202" s="659"/>
      <c r="GC202" s="190"/>
      <c r="GD202" s="726"/>
      <c r="GE202" s="14"/>
      <c r="GF202" s="14"/>
      <c r="GG202" s="14"/>
      <c r="GH202" s="14"/>
      <c r="GI202" s="14"/>
      <c r="GJ202" s="14"/>
      <c r="GK202" s="14"/>
      <c r="GL202" s="14"/>
      <c r="GM202" s="14"/>
      <c r="GN202" s="14"/>
      <c r="GO202" s="14"/>
      <c r="GP202" s="14"/>
      <c r="GQ202" s="14"/>
      <c r="GR202" s="14"/>
      <c r="GS202" s="14"/>
      <c r="GT202" s="14"/>
      <c r="GU202" s="14"/>
      <c r="GV202" s="14"/>
      <c r="GW202" s="14"/>
      <c r="GX202" s="14"/>
      <c r="GY202" s="14"/>
      <c r="GZ202" s="14"/>
      <c r="HA202" s="14"/>
      <c r="HB202" s="14"/>
      <c r="HC202" s="14"/>
      <c r="HD202" s="14"/>
      <c r="HE202" s="14"/>
      <c r="HF202" s="14"/>
      <c r="HG202" s="14"/>
      <c r="HH202" s="14"/>
      <c r="HI202" s="14"/>
      <c r="HJ202" s="14"/>
      <c r="HK202" s="14"/>
      <c r="HL202" s="14"/>
      <c r="HM202" s="14"/>
      <c r="HN202" s="14"/>
      <c r="HO202" s="14"/>
      <c r="HP202" s="14"/>
      <c r="HQ202" s="14"/>
      <c r="HR202" s="14"/>
      <c r="HS202" s="14"/>
      <c r="HT202" s="14"/>
      <c r="HU202" s="14"/>
      <c r="HV202" s="14"/>
      <c r="HW202" s="14"/>
      <c r="HX202" s="14"/>
      <c r="HY202" s="14"/>
      <c r="HZ202" s="14"/>
      <c r="IA202" s="14"/>
      <c r="IB202" s="14"/>
      <c r="IC202" s="14"/>
      <c r="ID202" s="14"/>
      <c r="IE202" s="14"/>
      <c r="IF202" s="14"/>
      <c r="IG202" s="14"/>
      <c r="IH202" s="14"/>
      <c r="II202" s="14"/>
      <c r="IJ202" s="14"/>
      <c r="IK202" s="14"/>
      <c r="IL202" s="14"/>
      <c r="IM202" s="14"/>
      <c r="IN202" s="14"/>
      <c r="IO202" s="14"/>
      <c r="IP202" s="14"/>
      <c r="IQ202" s="14"/>
      <c r="IR202" s="14"/>
      <c r="IS202" s="14"/>
      <c r="IT202" s="14"/>
      <c r="IU202" s="14"/>
      <c r="IV202" s="14"/>
      <c r="IW202" s="14"/>
      <c r="IX202" s="14"/>
      <c r="IY202" s="14"/>
      <c r="IZ202" s="14"/>
      <c r="JA202" s="14"/>
      <c r="JB202" s="14"/>
      <c r="JC202" s="14"/>
      <c r="JD202" s="14"/>
      <c r="JE202" s="14"/>
    </row>
    <row r="203" spans="1:265" s="45" customFormat="1">
      <c r="A203" s="370" t="s">
        <v>31</v>
      </c>
      <c r="B203" s="14">
        <f>COUNTIF(Ville,"*St Philippe*")</f>
        <v>3</v>
      </c>
      <c r="C203" s="14">
        <f t="shared" si="302"/>
        <v>52</v>
      </c>
      <c r="D203" s="14"/>
      <c r="E203" s="14"/>
      <c r="F203" s="14"/>
      <c r="G203" s="14"/>
      <c r="H203" s="14"/>
      <c r="I203" s="14"/>
      <c r="J203" s="14"/>
      <c r="K203" s="339"/>
      <c r="L203" s="209"/>
      <c r="M203" s="209"/>
      <c r="N203" s="209"/>
      <c r="O203" s="14"/>
      <c r="P203" s="14"/>
      <c r="Q203" s="14"/>
      <c r="R203" s="14"/>
      <c r="S203" s="14"/>
      <c r="T203" s="14"/>
      <c r="U203" s="14"/>
      <c r="V203" s="14"/>
      <c r="W203" s="14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  <c r="AH203" s="14"/>
      <c r="AI203" s="14"/>
      <c r="AJ203" s="14"/>
      <c r="AK203" s="14"/>
      <c r="AL203" s="14"/>
      <c r="AM203" s="14"/>
      <c r="AN203" s="14"/>
      <c r="AO203" s="14"/>
      <c r="AP203" s="14"/>
      <c r="AQ203" s="14"/>
      <c r="AR203" s="153"/>
      <c r="AS203" s="32"/>
      <c r="AT203" s="14"/>
      <c r="AU203" s="14"/>
      <c r="AV203" s="14"/>
      <c r="AW203" s="14"/>
      <c r="AX203" s="14"/>
      <c r="AY203" s="190"/>
      <c r="AZ203" s="190"/>
      <c r="BA203" s="190"/>
      <c r="BB203" s="190"/>
      <c r="BC203" s="190"/>
      <c r="BD203" s="190"/>
      <c r="BE203" s="190"/>
      <c r="BF203" s="190"/>
      <c r="BG203" s="190"/>
      <c r="BH203" s="190"/>
      <c r="BI203" s="190"/>
      <c r="BJ203" s="190"/>
      <c r="BK203" s="190"/>
      <c r="BL203" s="190"/>
      <c r="BM203" s="190"/>
      <c r="BN203" s="190"/>
      <c r="BO203" s="190"/>
      <c r="BP203" s="190"/>
      <c r="BQ203" s="190"/>
      <c r="BR203" s="190"/>
      <c r="BS203" s="190"/>
      <c r="BT203" s="191"/>
      <c r="BU203" s="190"/>
      <c r="BV203" s="236"/>
      <c r="BW203" s="236"/>
      <c r="BX203" s="190"/>
      <c r="BY203" s="190"/>
      <c r="BZ203" s="190"/>
      <c r="CA203" s="190"/>
      <c r="CB203" s="190"/>
      <c r="CC203" s="679"/>
      <c r="CD203" s="14"/>
      <c r="CE203" s="14"/>
      <c r="CF203" s="14"/>
      <c r="CG203" s="14"/>
      <c r="CH203" s="243"/>
      <c r="CI203" s="243"/>
      <c r="CJ203" s="14"/>
      <c r="CK203" s="14"/>
      <c r="CL203" s="14"/>
      <c r="CM203" s="14"/>
      <c r="CN203" s="14"/>
      <c r="CO203" s="14"/>
      <c r="CP203" s="14"/>
      <c r="CQ203" s="14"/>
      <c r="CR203" s="14"/>
      <c r="CS203" s="14"/>
      <c r="CT203" s="14"/>
      <c r="CU203" s="14"/>
      <c r="CV203" s="14"/>
      <c r="CW203" s="14"/>
      <c r="CX203" s="366"/>
      <c r="CY203" s="14"/>
      <c r="CZ203" s="14"/>
      <c r="DA203" s="14"/>
      <c r="DB203" s="14"/>
      <c r="DC203" s="14"/>
      <c r="DD203" s="14"/>
      <c r="DE203" s="14"/>
      <c r="DF203" s="14"/>
      <c r="DG203" s="14"/>
      <c r="DH203" s="14"/>
      <c r="DI203" s="14"/>
      <c r="DJ203" s="14"/>
      <c r="DK203" s="14"/>
      <c r="DL203" s="14"/>
      <c r="DM203" s="14"/>
      <c r="DN203" s="14"/>
      <c r="DO203" s="14"/>
      <c r="DP203" s="14"/>
      <c r="DQ203" s="14"/>
      <c r="DR203" s="14"/>
      <c r="DS203" s="14"/>
      <c r="DT203" s="634"/>
      <c r="DU203" s="634"/>
      <c r="DV203" s="33"/>
      <c r="DW203" s="14"/>
      <c r="DX203" s="634"/>
      <c r="DY203" s="14"/>
      <c r="DZ203" s="634"/>
      <c r="EA203" s="14"/>
      <c r="EB203" s="14"/>
      <c r="EC203" s="14"/>
      <c r="ED203" s="14"/>
      <c r="EE203" s="14"/>
      <c r="EF203" s="634"/>
      <c r="EG203" s="634"/>
      <c r="EH203" s="14"/>
      <c r="EI203" s="634"/>
      <c r="EJ203" s="634"/>
      <c r="EK203" s="634"/>
      <c r="EL203" s="14"/>
      <c r="EM203" s="634"/>
      <c r="EN203" s="634"/>
      <c r="EO203" s="14"/>
      <c r="EP203" s="634"/>
      <c r="EQ203" s="634"/>
      <c r="ER203" s="33"/>
      <c r="ES203" s="634"/>
      <c r="ET203" s="634"/>
      <c r="EU203" s="14"/>
      <c r="EV203" s="634"/>
      <c r="EW203" s="634"/>
      <c r="EX203" s="14"/>
      <c r="EY203" s="634"/>
      <c r="EZ203" s="634"/>
      <c r="FA203" s="14"/>
      <c r="FB203" s="634"/>
      <c r="FC203" s="634"/>
      <c r="FD203" s="14"/>
      <c r="FE203" s="634"/>
      <c r="FF203" s="634"/>
      <c r="FG203" s="14"/>
      <c r="FH203" s="634"/>
      <c r="FI203" s="634"/>
      <c r="FJ203" s="14"/>
      <c r="FK203" s="634"/>
      <c r="FL203" s="634"/>
      <c r="FM203" s="634"/>
      <c r="FN203" s="634"/>
      <c r="FO203" s="634"/>
      <c r="FP203" s="14"/>
      <c r="FQ203" s="634"/>
      <c r="FR203" s="634"/>
      <c r="FS203" s="668"/>
      <c r="FT203" s="668"/>
      <c r="FU203" s="668"/>
      <c r="FV203" s="668"/>
      <c r="FZ203" s="659"/>
      <c r="GA203" s="659"/>
      <c r="GC203" s="190"/>
      <c r="GD203" s="726"/>
      <c r="GE203" s="14"/>
      <c r="GF203" s="14"/>
      <c r="GG203" s="14"/>
      <c r="GH203" s="14"/>
      <c r="GI203" s="14"/>
      <c r="GJ203" s="14"/>
      <c r="GK203" s="14"/>
      <c r="GL203" s="14"/>
      <c r="GM203" s="14"/>
      <c r="GN203" s="14"/>
      <c r="GO203" s="14"/>
      <c r="GP203" s="14"/>
      <c r="GQ203" s="14"/>
      <c r="GR203" s="14"/>
      <c r="GS203" s="14"/>
      <c r="GT203" s="14"/>
      <c r="GU203" s="14"/>
      <c r="GV203" s="14"/>
      <c r="GW203" s="14"/>
      <c r="GX203" s="14"/>
      <c r="GY203" s="14"/>
      <c r="GZ203" s="14"/>
      <c r="HA203" s="14"/>
      <c r="HB203" s="14"/>
      <c r="HC203" s="14"/>
      <c r="HD203" s="14"/>
      <c r="HE203" s="14"/>
      <c r="HF203" s="14"/>
      <c r="HG203" s="14"/>
      <c r="HH203" s="14"/>
      <c r="HI203" s="14"/>
      <c r="HJ203" s="14"/>
      <c r="HK203" s="14"/>
      <c r="HL203" s="14"/>
      <c r="HM203" s="14"/>
      <c r="HN203" s="14"/>
      <c r="HO203" s="14"/>
      <c r="HP203" s="14"/>
      <c r="HQ203" s="14"/>
      <c r="HR203" s="14"/>
      <c r="HS203" s="14"/>
      <c r="HT203" s="14"/>
      <c r="HU203" s="14"/>
      <c r="HV203" s="14"/>
      <c r="HW203" s="14"/>
      <c r="HX203" s="14"/>
      <c r="HY203" s="14"/>
      <c r="HZ203" s="14"/>
      <c r="IA203" s="14"/>
      <c r="IB203" s="14"/>
      <c r="IC203" s="14"/>
      <c r="ID203" s="14"/>
      <c r="IE203" s="14"/>
      <c r="IF203" s="14"/>
      <c r="IG203" s="14"/>
      <c r="IH203" s="14"/>
      <c r="II203" s="14"/>
      <c r="IJ203" s="14"/>
      <c r="IK203" s="14"/>
      <c r="IL203" s="14"/>
      <c r="IM203" s="14"/>
      <c r="IN203" s="14"/>
      <c r="IO203" s="14"/>
      <c r="IP203" s="14"/>
      <c r="IQ203" s="14"/>
      <c r="IR203" s="14"/>
      <c r="IS203" s="14"/>
      <c r="IT203" s="14"/>
      <c r="IU203" s="14"/>
      <c r="IV203" s="14"/>
      <c r="IW203" s="14"/>
      <c r="IX203" s="14"/>
      <c r="IY203" s="14"/>
      <c r="IZ203" s="14"/>
      <c r="JA203" s="14"/>
      <c r="JB203" s="14"/>
      <c r="JC203" s="14"/>
      <c r="JD203" s="14"/>
      <c r="JE203" s="14"/>
    </row>
    <row r="204" spans="1:265" s="45" customFormat="1">
      <c r="A204" s="370" t="s">
        <v>107</v>
      </c>
      <c r="B204" s="14">
        <f>COUNTIF(Ville,"*St Pierre*")</f>
        <v>3</v>
      </c>
      <c r="C204" s="14">
        <f t="shared" si="302"/>
        <v>253</v>
      </c>
      <c r="D204" s="14"/>
      <c r="E204" s="14"/>
      <c r="F204" s="14"/>
      <c r="G204" s="14"/>
      <c r="H204" s="14"/>
      <c r="I204" s="14"/>
      <c r="J204" s="14"/>
      <c r="K204" s="339"/>
      <c r="L204" s="209"/>
      <c r="M204" s="209"/>
      <c r="N204" s="209"/>
      <c r="O204" s="14"/>
      <c r="P204" s="14"/>
      <c r="Q204" s="14"/>
      <c r="R204" s="14"/>
      <c r="S204" s="14"/>
      <c r="T204" s="14"/>
      <c r="U204" s="14"/>
      <c r="V204" s="14"/>
      <c r="W204" s="14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  <c r="AH204" s="14"/>
      <c r="AI204" s="14"/>
      <c r="AJ204" s="14"/>
      <c r="AK204" s="14"/>
      <c r="AL204" s="14"/>
      <c r="AM204" s="14"/>
      <c r="AN204" s="14"/>
      <c r="AO204" s="14"/>
      <c r="AP204" s="14"/>
      <c r="AQ204" s="14"/>
      <c r="AR204" s="153"/>
      <c r="AS204" s="32"/>
      <c r="AT204" s="14"/>
      <c r="AU204" s="14"/>
      <c r="AV204" s="14"/>
      <c r="AW204" s="14"/>
      <c r="AX204" s="14"/>
      <c r="AY204" s="190"/>
      <c r="AZ204" s="190"/>
      <c r="BA204" s="190"/>
      <c r="BB204" s="190"/>
      <c r="BC204" s="190"/>
      <c r="BD204" s="190"/>
      <c r="BE204" s="190"/>
      <c r="BF204" s="190"/>
      <c r="BG204" s="190"/>
      <c r="BH204" s="190"/>
      <c r="BI204" s="190"/>
      <c r="BJ204" s="190"/>
      <c r="BK204" s="190"/>
      <c r="BL204" s="190"/>
      <c r="BM204" s="190"/>
      <c r="BN204" s="190"/>
      <c r="BO204" s="190"/>
      <c r="BP204" s="190"/>
      <c r="BQ204" s="190"/>
      <c r="BR204" s="190"/>
      <c r="BS204" s="190"/>
      <c r="BT204" s="191"/>
      <c r="BU204" s="190"/>
      <c r="BV204" s="236"/>
      <c r="BW204" s="236"/>
      <c r="BX204" s="190"/>
      <c r="BY204" s="190"/>
      <c r="BZ204" s="190"/>
      <c r="CA204" s="190"/>
      <c r="CB204" s="190"/>
      <c r="CC204" s="679"/>
      <c r="CD204" s="14"/>
      <c r="CE204" s="14"/>
      <c r="CF204" s="14"/>
      <c r="CG204" s="14"/>
      <c r="CH204" s="243"/>
      <c r="CI204" s="243"/>
      <c r="CJ204" s="14"/>
      <c r="CK204" s="14"/>
      <c r="CL204" s="14"/>
      <c r="CM204" s="14"/>
      <c r="CN204" s="14"/>
      <c r="CO204" s="14"/>
      <c r="CP204" s="14"/>
      <c r="CQ204" s="14"/>
      <c r="CR204" s="14"/>
      <c r="CS204" s="14"/>
      <c r="CT204" s="14"/>
      <c r="CU204" s="14"/>
      <c r="CV204" s="14"/>
      <c r="CW204" s="14"/>
      <c r="CX204" s="366"/>
      <c r="CY204" s="14"/>
      <c r="CZ204" s="14"/>
      <c r="DA204" s="14"/>
      <c r="DB204" s="14"/>
      <c r="DC204" s="14"/>
      <c r="DD204" s="14"/>
      <c r="DE204" s="14"/>
      <c r="DF204" s="14"/>
      <c r="DG204" s="14"/>
      <c r="DH204" s="14"/>
      <c r="DI204" s="14"/>
      <c r="DJ204" s="14"/>
      <c r="DK204" s="14"/>
      <c r="DL204" s="14"/>
      <c r="DM204" s="14"/>
      <c r="DN204" s="14"/>
      <c r="DO204" s="14"/>
      <c r="DP204" s="14"/>
      <c r="DQ204" s="14"/>
      <c r="DR204" s="14"/>
      <c r="DS204" s="14"/>
      <c r="DT204" s="634"/>
      <c r="DU204" s="634"/>
      <c r="DV204" s="33"/>
      <c r="DW204" s="14"/>
      <c r="DX204" s="634"/>
      <c r="DY204" s="14"/>
      <c r="DZ204" s="634"/>
      <c r="EA204" s="14"/>
      <c r="EB204" s="14"/>
      <c r="EC204" s="14"/>
      <c r="ED204" s="14"/>
      <c r="EE204" s="14"/>
      <c r="EF204" s="634"/>
      <c r="EG204" s="634"/>
      <c r="EH204" s="14"/>
      <c r="EI204" s="634"/>
      <c r="EJ204" s="634"/>
      <c r="EK204" s="634"/>
      <c r="EL204" s="14"/>
      <c r="EM204" s="634"/>
      <c r="EN204" s="634"/>
      <c r="EO204" s="14"/>
      <c r="EP204" s="634"/>
      <c r="EQ204" s="634"/>
      <c r="ER204" s="33"/>
      <c r="ES204" s="634"/>
      <c r="ET204" s="634"/>
      <c r="EU204" s="14"/>
      <c r="EV204" s="634"/>
      <c r="EW204" s="634"/>
      <c r="EX204" s="14"/>
      <c r="EY204" s="634"/>
      <c r="EZ204" s="634"/>
      <c r="FA204" s="14"/>
      <c r="FB204" s="634"/>
      <c r="FC204" s="634"/>
      <c r="FD204" s="14"/>
      <c r="FE204" s="634"/>
      <c r="FF204" s="634"/>
      <c r="FG204" s="14"/>
      <c r="FH204" s="634"/>
      <c r="FI204" s="634"/>
      <c r="FJ204" s="14"/>
      <c r="FK204" s="634"/>
      <c r="FL204" s="634"/>
      <c r="FM204" s="634"/>
      <c r="FN204" s="634"/>
      <c r="FO204" s="634"/>
      <c r="FP204" s="14"/>
      <c r="FQ204" s="634"/>
      <c r="FR204" s="634"/>
      <c r="FS204" s="668"/>
      <c r="FT204" s="668"/>
      <c r="FU204" s="668"/>
      <c r="FV204" s="668"/>
      <c r="FZ204" s="659"/>
      <c r="GA204" s="659"/>
      <c r="GC204" s="190"/>
      <c r="GD204" s="726"/>
      <c r="GE204" s="14"/>
      <c r="GF204" s="14"/>
      <c r="GG204" s="14"/>
      <c r="GH204" s="14"/>
      <c r="GI204" s="14"/>
      <c r="GJ204" s="14"/>
      <c r="GK204" s="14"/>
      <c r="GL204" s="14"/>
      <c r="GM204" s="14"/>
      <c r="GN204" s="14"/>
      <c r="GO204" s="14"/>
      <c r="GP204" s="14"/>
      <c r="GQ204" s="14"/>
      <c r="GR204" s="14"/>
      <c r="GS204" s="14"/>
      <c r="GT204" s="14"/>
      <c r="GU204" s="14"/>
      <c r="GV204" s="14"/>
      <c r="GW204" s="14"/>
      <c r="GX204" s="14"/>
      <c r="GY204" s="14"/>
      <c r="GZ204" s="14"/>
      <c r="HA204" s="14"/>
      <c r="HB204" s="14"/>
      <c r="HC204" s="14"/>
      <c r="HD204" s="14"/>
      <c r="HE204" s="14"/>
      <c r="HF204" s="14"/>
      <c r="HG204" s="14"/>
      <c r="HH204" s="14"/>
      <c r="HI204" s="14"/>
      <c r="HJ204" s="14"/>
      <c r="HK204" s="14"/>
      <c r="HL204" s="14"/>
      <c r="HM204" s="14"/>
      <c r="HN204" s="14"/>
      <c r="HO204" s="14"/>
      <c r="HP204" s="14"/>
      <c r="HQ204" s="14"/>
      <c r="HR204" s="14"/>
      <c r="HS204" s="14"/>
      <c r="HT204" s="14"/>
      <c r="HU204" s="14"/>
      <c r="HV204" s="14"/>
      <c r="HW204" s="14"/>
      <c r="HX204" s="14"/>
      <c r="HY204" s="14"/>
      <c r="HZ204" s="14"/>
      <c r="IA204" s="14"/>
      <c r="IB204" s="14"/>
      <c r="IC204" s="14"/>
      <c r="ID204" s="14"/>
      <c r="IE204" s="14"/>
      <c r="IF204" s="14"/>
      <c r="IG204" s="14"/>
      <c r="IH204" s="14"/>
      <c r="II204" s="14"/>
      <c r="IJ204" s="14"/>
      <c r="IK204" s="14"/>
      <c r="IL204" s="14"/>
      <c r="IM204" s="14"/>
      <c r="IN204" s="14"/>
      <c r="IO204" s="14"/>
      <c r="IP204" s="14"/>
      <c r="IQ204" s="14"/>
      <c r="IR204" s="14"/>
      <c r="IS204" s="14"/>
      <c r="IT204" s="14"/>
      <c r="IU204" s="14"/>
      <c r="IV204" s="14"/>
      <c r="IW204" s="14"/>
      <c r="IX204" s="14"/>
      <c r="IY204" s="14"/>
      <c r="IZ204" s="14"/>
      <c r="JA204" s="14"/>
      <c r="JB204" s="14"/>
      <c r="JC204" s="14"/>
      <c r="JD204" s="14"/>
      <c r="JE204" s="14"/>
    </row>
    <row r="205" spans="1:265" s="45" customFormat="1">
      <c r="A205" s="370" t="s">
        <v>35</v>
      </c>
      <c r="B205" s="14">
        <f>COUNTIF(Ville,"*Tampon*")</f>
        <v>34</v>
      </c>
      <c r="C205" s="14">
        <f t="shared" si="302"/>
        <v>1543</v>
      </c>
      <c r="D205" s="14"/>
      <c r="E205" s="14"/>
      <c r="F205" s="14"/>
      <c r="G205" s="14"/>
      <c r="H205" s="14"/>
      <c r="I205" s="14"/>
      <c r="J205" s="14"/>
      <c r="K205" s="339"/>
      <c r="L205" s="209"/>
      <c r="M205" s="209"/>
      <c r="N205" s="209"/>
      <c r="O205" s="14"/>
      <c r="P205" s="14"/>
      <c r="Q205" s="14"/>
      <c r="R205" s="14"/>
      <c r="S205" s="14"/>
      <c r="T205" s="14"/>
      <c r="U205" s="14"/>
      <c r="V205" s="14"/>
      <c r="W205" s="14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  <c r="AH205" s="14"/>
      <c r="AI205" s="14"/>
      <c r="AJ205" s="14"/>
      <c r="AK205" s="14"/>
      <c r="AL205" s="14"/>
      <c r="AM205" s="14"/>
      <c r="AN205" s="14"/>
      <c r="AO205" s="14"/>
      <c r="AP205" s="14"/>
      <c r="AQ205" s="14"/>
      <c r="AR205" s="153"/>
      <c r="AS205" s="32"/>
      <c r="AT205" s="14"/>
      <c r="AU205" s="14"/>
      <c r="AV205" s="14"/>
      <c r="AW205" s="14"/>
      <c r="AX205" s="14"/>
      <c r="AY205" s="190"/>
      <c r="AZ205" s="190"/>
      <c r="BA205" s="190"/>
      <c r="BB205" s="190"/>
      <c r="BC205" s="190"/>
      <c r="BD205" s="190"/>
      <c r="BE205" s="190"/>
      <c r="BF205" s="190"/>
      <c r="BG205" s="190"/>
      <c r="BH205" s="190"/>
      <c r="BI205" s="190"/>
      <c r="BJ205" s="190"/>
      <c r="BK205" s="190"/>
      <c r="BL205" s="190"/>
      <c r="BM205" s="190"/>
      <c r="BN205" s="190"/>
      <c r="BO205" s="190"/>
      <c r="BP205" s="190"/>
      <c r="BQ205" s="190"/>
      <c r="BR205" s="190"/>
      <c r="BS205" s="190"/>
      <c r="BT205" s="191"/>
      <c r="BU205" s="190"/>
      <c r="BV205" s="236"/>
      <c r="BW205" s="236"/>
      <c r="BX205" s="190"/>
      <c r="BY205" s="190"/>
      <c r="BZ205" s="190"/>
      <c r="CA205" s="190"/>
      <c r="CB205" s="190"/>
      <c r="CC205" s="679"/>
      <c r="CD205" s="14"/>
      <c r="CE205" s="14"/>
      <c r="CF205" s="14"/>
      <c r="CG205" s="14"/>
      <c r="CH205" s="243"/>
      <c r="CI205" s="243"/>
      <c r="CJ205" s="14"/>
      <c r="CK205" s="14"/>
      <c r="CL205" s="14"/>
      <c r="CM205" s="14"/>
      <c r="CN205" s="14"/>
      <c r="CO205" s="14"/>
      <c r="CP205" s="14"/>
      <c r="CQ205" s="14"/>
      <c r="CR205" s="14"/>
      <c r="CS205" s="14"/>
      <c r="CT205" s="14"/>
      <c r="CU205" s="14"/>
      <c r="CV205" s="14"/>
      <c r="CW205" s="14"/>
      <c r="CX205" s="366"/>
      <c r="CY205" s="14"/>
      <c r="CZ205" s="14"/>
      <c r="DA205" s="14"/>
      <c r="DB205" s="14"/>
      <c r="DC205" s="14"/>
      <c r="DD205" s="14"/>
      <c r="DE205" s="14"/>
      <c r="DF205" s="14"/>
      <c r="DG205" s="14"/>
      <c r="DH205" s="14"/>
      <c r="DI205" s="14"/>
      <c r="DJ205" s="14"/>
      <c r="DK205" s="14"/>
      <c r="DL205" s="14"/>
      <c r="DM205" s="14"/>
      <c r="DN205" s="14"/>
      <c r="DO205" s="14"/>
      <c r="DP205" s="14"/>
      <c r="DQ205" s="14"/>
      <c r="DR205" s="14"/>
      <c r="DS205" s="14"/>
      <c r="DT205" s="634"/>
      <c r="DU205" s="634"/>
      <c r="DV205" s="33"/>
      <c r="DW205" s="14"/>
      <c r="DX205" s="634"/>
      <c r="DY205" s="14"/>
      <c r="DZ205" s="634"/>
      <c r="EA205" s="14"/>
      <c r="EB205" s="14"/>
      <c r="EC205" s="14"/>
      <c r="ED205" s="14"/>
      <c r="EE205" s="14"/>
      <c r="EF205" s="634"/>
      <c r="EG205" s="634"/>
      <c r="EH205" s="14"/>
      <c r="EI205" s="634"/>
      <c r="EJ205" s="634"/>
      <c r="EK205" s="634"/>
      <c r="EL205" s="14"/>
      <c r="EM205" s="634"/>
      <c r="EN205" s="634"/>
      <c r="EO205" s="14"/>
      <c r="EP205" s="634"/>
      <c r="EQ205" s="634"/>
      <c r="ER205" s="33"/>
      <c r="ES205" s="634"/>
      <c r="ET205" s="634"/>
      <c r="EU205" s="14"/>
      <c r="EV205" s="634"/>
      <c r="EW205" s="634"/>
      <c r="EX205" s="14"/>
      <c r="EY205" s="634"/>
      <c r="EZ205" s="634"/>
      <c r="FA205" s="14"/>
      <c r="FB205" s="634"/>
      <c r="FC205" s="634"/>
      <c r="FD205" s="14"/>
      <c r="FE205" s="634"/>
      <c r="FF205" s="634"/>
      <c r="FG205" s="14"/>
      <c r="FH205" s="634"/>
      <c r="FI205" s="634"/>
      <c r="FJ205" s="14"/>
      <c r="FK205" s="634"/>
      <c r="FL205" s="634"/>
      <c r="FM205" s="634"/>
      <c r="FN205" s="634"/>
      <c r="FO205" s="634"/>
      <c r="FP205" s="14"/>
      <c r="FQ205" s="634"/>
      <c r="FR205" s="634"/>
      <c r="FS205" s="668"/>
      <c r="FT205" s="668"/>
      <c r="FU205" s="668"/>
      <c r="FV205" s="668"/>
      <c r="FZ205" s="659"/>
      <c r="GA205" s="659"/>
      <c r="GC205" s="190"/>
      <c r="GD205" s="726"/>
      <c r="GE205" s="14"/>
      <c r="GF205" s="14"/>
      <c r="GG205" s="14"/>
      <c r="GH205" s="14"/>
      <c r="GI205" s="14"/>
      <c r="GJ205" s="14"/>
      <c r="GK205" s="14"/>
      <c r="GL205" s="14"/>
      <c r="GM205" s="14"/>
      <c r="GN205" s="14"/>
      <c r="GO205" s="14"/>
      <c r="GP205" s="14"/>
      <c r="GQ205" s="14"/>
      <c r="GR205" s="14"/>
      <c r="GS205" s="14"/>
      <c r="GT205" s="14"/>
      <c r="GU205" s="14"/>
      <c r="GV205" s="14"/>
      <c r="GW205" s="14"/>
      <c r="GX205" s="14"/>
      <c r="GY205" s="14"/>
      <c r="GZ205" s="14"/>
      <c r="HA205" s="14"/>
      <c r="HB205" s="14"/>
      <c r="HC205" s="14"/>
      <c r="HD205" s="14"/>
      <c r="HE205" s="14"/>
      <c r="HF205" s="14"/>
      <c r="HG205" s="14"/>
      <c r="HH205" s="14"/>
      <c r="HI205" s="14"/>
      <c r="HJ205" s="14"/>
      <c r="HK205" s="14"/>
      <c r="HL205" s="14"/>
      <c r="HM205" s="14"/>
      <c r="HN205" s="14"/>
      <c r="HO205" s="14"/>
      <c r="HP205" s="14"/>
      <c r="HQ205" s="14"/>
      <c r="HR205" s="14"/>
      <c r="HS205" s="14"/>
      <c r="HT205" s="14"/>
      <c r="HU205" s="14"/>
      <c r="HV205" s="14"/>
      <c r="HW205" s="14"/>
      <c r="HX205" s="14"/>
      <c r="HY205" s="14"/>
      <c r="HZ205" s="14"/>
      <c r="IA205" s="14"/>
      <c r="IB205" s="14"/>
      <c r="IC205" s="14"/>
      <c r="ID205" s="14"/>
      <c r="IE205" s="14"/>
      <c r="IF205" s="14"/>
      <c r="IG205" s="14"/>
      <c r="IH205" s="14"/>
      <c r="II205" s="14"/>
      <c r="IJ205" s="14"/>
      <c r="IK205" s="14"/>
      <c r="IL205" s="14"/>
      <c r="IM205" s="14"/>
      <c r="IN205" s="14"/>
      <c r="IO205" s="14"/>
      <c r="IP205" s="14"/>
      <c r="IQ205" s="14"/>
      <c r="IR205" s="14"/>
      <c r="IS205" s="14"/>
      <c r="IT205" s="14"/>
      <c r="IU205" s="14"/>
      <c r="IV205" s="14"/>
      <c r="IW205" s="14"/>
      <c r="IX205" s="14"/>
      <c r="IY205" s="14"/>
      <c r="IZ205" s="14"/>
      <c r="JA205" s="14"/>
      <c r="JB205" s="14"/>
      <c r="JC205" s="14"/>
      <c r="JD205" s="14"/>
      <c r="JE205" s="14"/>
    </row>
    <row r="206" spans="1:265" s="45" customFormat="1">
      <c r="A206" s="370" t="s">
        <v>41</v>
      </c>
      <c r="B206" s="14">
        <f>COUNTIF(Ville,"*Trois Bassins*")</f>
        <v>2</v>
      </c>
      <c r="C206" s="14">
        <f t="shared" si="302"/>
        <v>84</v>
      </c>
      <c r="D206" s="14"/>
      <c r="E206" s="14"/>
      <c r="F206" s="14"/>
      <c r="G206" s="14"/>
      <c r="H206" s="14"/>
      <c r="I206" s="14"/>
      <c r="J206" s="14"/>
      <c r="K206" s="339"/>
      <c r="L206" s="209"/>
      <c r="M206" s="209"/>
      <c r="N206" s="209"/>
      <c r="O206" s="14"/>
      <c r="P206" s="14"/>
      <c r="Q206" s="14"/>
      <c r="R206" s="14"/>
      <c r="S206" s="14"/>
      <c r="T206" s="14"/>
      <c r="U206" s="14"/>
      <c r="V206" s="14"/>
      <c r="W206" s="14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  <c r="AH206" s="14"/>
      <c r="AI206" s="14"/>
      <c r="AJ206" s="14"/>
      <c r="AK206" s="14"/>
      <c r="AL206" s="14"/>
      <c r="AM206" s="14"/>
      <c r="AN206" s="14"/>
      <c r="AO206" s="14"/>
      <c r="AP206" s="14"/>
      <c r="AQ206" s="14"/>
      <c r="AR206" s="153"/>
      <c r="AS206" s="32"/>
      <c r="AT206" s="14"/>
      <c r="AU206" s="14"/>
      <c r="AV206" s="14"/>
      <c r="AW206" s="14"/>
      <c r="AX206" s="14"/>
      <c r="AY206" s="190"/>
      <c r="AZ206" s="190"/>
      <c r="BA206" s="190"/>
      <c r="BB206" s="190"/>
      <c r="BC206" s="190"/>
      <c r="BD206" s="190"/>
      <c r="BE206" s="190"/>
      <c r="BF206" s="190"/>
      <c r="BG206" s="190"/>
      <c r="BH206" s="190"/>
      <c r="BI206" s="190"/>
      <c r="BJ206" s="190"/>
      <c r="BK206" s="190"/>
      <c r="BL206" s="190"/>
      <c r="BM206" s="190"/>
      <c r="BN206" s="190"/>
      <c r="BO206" s="190"/>
      <c r="BP206" s="190"/>
      <c r="BQ206" s="190"/>
      <c r="BR206" s="190"/>
      <c r="BS206" s="190"/>
      <c r="BT206" s="191"/>
      <c r="BU206" s="190"/>
      <c r="BV206" s="236"/>
      <c r="BW206" s="236"/>
      <c r="BX206" s="190"/>
      <c r="BY206" s="190"/>
      <c r="BZ206" s="190"/>
      <c r="CA206" s="190"/>
      <c r="CB206" s="190"/>
      <c r="CC206" s="679"/>
      <c r="CD206" s="14"/>
      <c r="CE206" s="14"/>
      <c r="CF206" s="14"/>
      <c r="CG206" s="14"/>
      <c r="CH206" s="243"/>
      <c r="CI206" s="243"/>
      <c r="CJ206" s="14"/>
      <c r="CK206" s="14"/>
      <c r="CL206" s="14"/>
      <c r="CM206" s="14"/>
      <c r="CN206" s="14"/>
      <c r="CO206" s="14"/>
      <c r="CP206" s="14"/>
      <c r="CQ206" s="14"/>
      <c r="CR206" s="14"/>
      <c r="CS206" s="14"/>
      <c r="CT206" s="14"/>
      <c r="CU206" s="14"/>
      <c r="CV206" s="14"/>
      <c r="CW206" s="14"/>
      <c r="CX206" s="366"/>
      <c r="CY206" s="14"/>
      <c r="CZ206" s="14"/>
      <c r="DA206" s="14"/>
      <c r="DB206" s="14"/>
      <c r="DC206" s="14"/>
      <c r="DD206" s="14"/>
      <c r="DE206" s="14"/>
      <c r="DF206" s="14"/>
      <c r="DG206" s="14"/>
      <c r="DH206" s="14"/>
      <c r="DI206" s="14"/>
      <c r="DJ206" s="14"/>
      <c r="DK206" s="14"/>
      <c r="DL206" s="14"/>
      <c r="DM206" s="14"/>
      <c r="DN206" s="14"/>
      <c r="DO206" s="14"/>
      <c r="DP206" s="14"/>
      <c r="DQ206" s="14"/>
      <c r="DR206" s="14"/>
      <c r="DS206" s="14"/>
      <c r="DT206" s="634"/>
      <c r="DU206" s="634"/>
      <c r="DV206" s="33"/>
      <c r="DW206" s="14"/>
      <c r="DX206" s="634"/>
      <c r="DY206" s="14"/>
      <c r="DZ206" s="634"/>
      <c r="EA206" s="14"/>
      <c r="EB206" s="14"/>
      <c r="EC206" s="14"/>
      <c r="ED206" s="14"/>
      <c r="EE206" s="14"/>
      <c r="EF206" s="634"/>
      <c r="EG206" s="634"/>
      <c r="EH206" s="14"/>
      <c r="EI206" s="634"/>
      <c r="EJ206" s="634"/>
      <c r="EK206" s="634"/>
      <c r="EL206" s="14"/>
      <c r="EM206" s="634"/>
      <c r="EN206" s="634"/>
      <c r="EO206" s="14"/>
      <c r="EP206" s="634"/>
      <c r="EQ206" s="634"/>
      <c r="ER206" s="33"/>
      <c r="ES206" s="634"/>
      <c r="ET206" s="634"/>
      <c r="EU206" s="14"/>
      <c r="EV206" s="634"/>
      <c r="EW206" s="634"/>
      <c r="EX206" s="14"/>
      <c r="EY206" s="634"/>
      <c r="EZ206" s="634"/>
      <c r="FA206" s="14"/>
      <c r="FB206" s="634"/>
      <c r="FC206" s="634"/>
      <c r="FD206" s="14"/>
      <c r="FE206" s="634"/>
      <c r="FF206" s="634"/>
      <c r="FG206" s="14"/>
      <c r="FH206" s="634"/>
      <c r="FI206" s="634"/>
      <c r="FJ206" s="14"/>
      <c r="FK206" s="634"/>
      <c r="FL206" s="634"/>
      <c r="FM206" s="634"/>
      <c r="FN206" s="634"/>
      <c r="FO206" s="634"/>
      <c r="FP206" s="14"/>
      <c r="FQ206" s="634"/>
      <c r="FR206" s="634"/>
      <c r="FS206" s="668"/>
      <c r="FT206" s="668"/>
      <c r="FU206" s="668"/>
      <c r="FV206" s="668"/>
      <c r="FZ206" s="659"/>
      <c r="GA206" s="659"/>
      <c r="GC206" s="190"/>
      <c r="GD206" s="726"/>
      <c r="GE206" s="14"/>
      <c r="GF206" s="14"/>
      <c r="GG206" s="14"/>
      <c r="GH206" s="14"/>
      <c r="GI206" s="14"/>
      <c r="GJ206" s="14"/>
      <c r="GK206" s="14"/>
      <c r="GL206" s="14"/>
      <c r="GM206" s="14"/>
      <c r="GN206" s="14"/>
      <c r="GO206" s="14"/>
      <c r="GP206" s="14"/>
      <c r="GQ206" s="14"/>
      <c r="GR206" s="14"/>
      <c r="GS206" s="14"/>
      <c r="GT206" s="14"/>
      <c r="GU206" s="14"/>
      <c r="GV206" s="14"/>
      <c r="GW206" s="14"/>
      <c r="GX206" s="14"/>
      <c r="GY206" s="14"/>
      <c r="GZ206" s="14"/>
      <c r="HA206" s="14"/>
      <c r="HB206" s="14"/>
      <c r="HC206" s="14"/>
      <c r="HD206" s="14"/>
      <c r="HE206" s="14"/>
      <c r="HF206" s="14"/>
      <c r="HG206" s="14"/>
      <c r="HH206" s="14"/>
      <c r="HI206" s="14"/>
      <c r="HJ206" s="14"/>
      <c r="HK206" s="14"/>
      <c r="HL206" s="14"/>
      <c r="HM206" s="14"/>
      <c r="HN206" s="14"/>
      <c r="HO206" s="14"/>
      <c r="HP206" s="14"/>
      <c r="HQ206" s="14"/>
      <c r="HR206" s="14"/>
      <c r="HS206" s="14"/>
      <c r="HT206" s="14"/>
      <c r="HU206" s="14"/>
      <c r="HV206" s="14"/>
      <c r="HW206" s="14"/>
      <c r="HX206" s="14"/>
      <c r="HY206" s="14"/>
      <c r="HZ206" s="14"/>
      <c r="IA206" s="14"/>
      <c r="IB206" s="14"/>
      <c r="IC206" s="14"/>
      <c r="ID206" s="14"/>
      <c r="IE206" s="14"/>
      <c r="IF206" s="14"/>
      <c r="IG206" s="14"/>
      <c r="IH206" s="14"/>
      <c r="II206" s="14"/>
      <c r="IJ206" s="14"/>
      <c r="IK206" s="14"/>
      <c r="IL206" s="14"/>
      <c r="IM206" s="14"/>
      <c r="IN206" s="14"/>
      <c r="IO206" s="14"/>
      <c r="IP206" s="14"/>
      <c r="IQ206" s="14"/>
      <c r="IR206" s="14"/>
      <c r="IS206" s="14"/>
      <c r="IT206" s="14"/>
      <c r="IU206" s="14"/>
      <c r="IV206" s="14"/>
      <c r="IW206" s="14"/>
      <c r="IX206" s="14"/>
      <c r="IY206" s="14"/>
      <c r="IZ206" s="14"/>
      <c r="JA206" s="14"/>
      <c r="JB206" s="14"/>
      <c r="JC206" s="14"/>
      <c r="JD206" s="14"/>
      <c r="JE206" s="14"/>
    </row>
    <row r="207" spans="1:265" s="45" customFormat="1">
      <c r="A207" s="368"/>
      <c r="B207" s="33">
        <f>SUM(B197:B206)</f>
        <v>94</v>
      </c>
      <c r="C207" s="33">
        <f>SUM(C197:C206)</f>
        <v>3272</v>
      </c>
      <c r="D207" s="14"/>
      <c r="E207" s="14"/>
      <c r="F207" s="14"/>
      <c r="G207" s="14"/>
      <c r="H207" s="14"/>
      <c r="I207" s="14"/>
      <c r="J207" s="14"/>
      <c r="K207" s="339"/>
      <c r="L207" s="209"/>
      <c r="M207" s="209"/>
      <c r="N207" s="209"/>
      <c r="O207" s="14"/>
      <c r="P207" s="14"/>
      <c r="Q207" s="14"/>
      <c r="R207" s="14"/>
      <c r="S207" s="14"/>
      <c r="T207" s="14"/>
      <c r="U207" s="14"/>
      <c r="V207" s="14"/>
      <c r="W207" s="14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  <c r="AH207" s="14"/>
      <c r="AI207" s="14"/>
      <c r="AJ207" s="14"/>
      <c r="AK207" s="14"/>
      <c r="AL207" s="14"/>
      <c r="AM207" s="14"/>
      <c r="AN207" s="14"/>
      <c r="AO207" s="14"/>
      <c r="AP207" s="14"/>
      <c r="AQ207" s="14"/>
      <c r="AR207" s="153"/>
      <c r="AS207" s="32"/>
      <c r="AT207" s="14"/>
      <c r="AU207" s="14"/>
      <c r="AV207" s="14"/>
      <c r="AW207" s="14"/>
      <c r="AX207" s="14"/>
      <c r="AY207" s="190"/>
      <c r="AZ207" s="190"/>
      <c r="BA207" s="190"/>
      <c r="BB207" s="190"/>
      <c r="BC207" s="190"/>
      <c r="BD207" s="190"/>
      <c r="BE207" s="190"/>
      <c r="BF207" s="190"/>
      <c r="BG207" s="190"/>
      <c r="BH207" s="190"/>
      <c r="BI207" s="190"/>
      <c r="BJ207" s="190"/>
      <c r="BK207" s="190"/>
      <c r="BL207" s="190"/>
      <c r="BM207" s="190"/>
      <c r="BN207" s="190"/>
      <c r="BO207" s="190"/>
      <c r="BP207" s="190"/>
      <c r="BQ207" s="190"/>
      <c r="BR207" s="190"/>
      <c r="BS207" s="190"/>
      <c r="BT207" s="191"/>
      <c r="BU207" s="190"/>
      <c r="BV207" s="236"/>
      <c r="BW207" s="236"/>
      <c r="BX207" s="190"/>
      <c r="BY207" s="190"/>
      <c r="BZ207" s="190"/>
      <c r="CA207" s="190"/>
      <c r="CB207" s="190"/>
      <c r="CC207" s="679"/>
      <c r="CD207" s="14"/>
      <c r="CE207" s="14"/>
      <c r="CF207" s="14"/>
      <c r="CG207" s="14"/>
      <c r="CH207" s="243"/>
      <c r="CI207" s="243"/>
      <c r="CJ207" s="14"/>
      <c r="CK207" s="14"/>
      <c r="CL207" s="14"/>
      <c r="CM207" s="14"/>
      <c r="CN207" s="14"/>
      <c r="CO207" s="14"/>
      <c r="CP207" s="14"/>
      <c r="CQ207" s="14"/>
      <c r="CR207" s="14"/>
      <c r="CS207" s="14"/>
      <c r="CT207" s="14"/>
      <c r="CU207" s="14"/>
      <c r="CV207" s="14"/>
      <c r="CW207" s="14"/>
      <c r="CX207" s="366"/>
      <c r="CY207" s="14"/>
      <c r="CZ207" s="14"/>
      <c r="DA207" s="14"/>
      <c r="DB207" s="14"/>
      <c r="DC207" s="14"/>
      <c r="DD207" s="14"/>
      <c r="DE207" s="14"/>
      <c r="DF207" s="14"/>
      <c r="DG207" s="14"/>
      <c r="DH207" s="14"/>
      <c r="DI207" s="14"/>
      <c r="DJ207" s="14"/>
      <c r="DK207" s="14"/>
      <c r="DL207" s="14"/>
      <c r="DM207" s="14"/>
      <c r="DN207" s="14"/>
      <c r="DO207" s="14"/>
      <c r="DP207" s="14"/>
      <c r="DQ207" s="14"/>
      <c r="DR207" s="14"/>
      <c r="DS207" s="14"/>
      <c r="DT207" s="634"/>
      <c r="DU207" s="634"/>
      <c r="DV207" s="33"/>
      <c r="DW207" s="14"/>
      <c r="DX207" s="634"/>
      <c r="DY207" s="14"/>
      <c r="DZ207" s="634"/>
      <c r="EA207" s="14"/>
      <c r="EB207" s="14"/>
      <c r="EC207" s="14"/>
      <c r="ED207" s="14"/>
      <c r="EE207" s="14"/>
      <c r="EF207" s="634"/>
      <c r="EG207" s="634"/>
      <c r="EH207" s="14"/>
      <c r="EI207" s="634"/>
      <c r="EJ207" s="634"/>
      <c r="EK207" s="634"/>
      <c r="EL207" s="14"/>
      <c r="EM207" s="634"/>
      <c r="EN207" s="634"/>
      <c r="EO207" s="14"/>
      <c r="EP207" s="634"/>
      <c r="EQ207" s="634"/>
      <c r="ER207" s="33"/>
      <c r="ES207" s="634"/>
      <c r="ET207" s="634"/>
      <c r="EU207" s="14"/>
      <c r="EV207" s="634"/>
      <c r="EW207" s="634"/>
      <c r="EX207" s="14"/>
      <c r="EY207" s="634"/>
      <c r="EZ207" s="634"/>
      <c r="FA207" s="14"/>
      <c r="FB207" s="634"/>
      <c r="FC207" s="634"/>
      <c r="FD207" s="14"/>
      <c r="FE207" s="634"/>
      <c r="FF207" s="634"/>
      <c r="FG207" s="14"/>
      <c r="FH207" s="634"/>
      <c r="FI207" s="634"/>
      <c r="FJ207" s="14"/>
      <c r="FK207" s="634"/>
      <c r="FL207" s="634"/>
      <c r="FM207" s="634"/>
      <c r="FN207" s="634"/>
      <c r="FO207" s="634"/>
      <c r="FP207" s="14"/>
      <c r="FQ207" s="634"/>
      <c r="FR207" s="634"/>
      <c r="FS207" s="668"/>
      <c r="FT207" s="668"/>
      <c r="FU207" s="668"/>
      <c r="FV207" s="668"/>
      <c r="FZ207" s="659"/>
      <c r="GA207" s="659"/>
      <c r="GC207" s="190"/>
      <c r="GD207" s="726"/>
      <c r="GE207" s="14"/>
      <c r="GF207" s="14"/>
      <c r="GG207" s="14"/>
      <c r="GH207" s="14"/>
      <c r="GI207" s="14"/>
      <c r="GJ207" s="14"/>
      <c r="GK207" s="14"/>
      <c r="GL207" s="14"/>
      <c r="GM207" s="14"/>
      <c r="GN207" s="14"/>
      <c r="GO207" s="14"/>
      <c r="GP207" s="14"/>
      <c r="GQ207" s="14"/>
      <c r="GR207" s="14"/>
      <c r="GS207" s="14"/>
      <c r="GT207" s="14"/>
      <c r="GU207" s="14"/>
      <c r="GV207" s="14"/>
      <c r="GW207" s="14"/>
      <c r="GX207" s="14"/>
      <c r="GY207" s="14"/>
      <c r="GZ207" s="14"/>
      <c r="HA207" s="14"/>
      <c r="HB207" s="14"/>
      <c r="HC207" s="14"/>
      <c r="HD207" s="14"/>
      <c r="HE207" s="14"/>
      <c r="HF207" s="14"/>
      <c r="HG207" s="14"/>
      <c r="HH207" s="14"/>
      <c r="HI207" s="14"/>
      <c r="HJ207" s="14"/>
      <c r="HK207" s="14"/>
      <c r="HL207" s="14"/>
      <c r="HM207" s="14"/>
      <c r="HN207" s="14"/>
      <c r="HO207" s="14"/>
      <c r="HP207" s="14"/>
      <c r="HQ207" s="14"/>
      <c r="HR207" s="14"/>
      <c r="HS207" s="14"/>
      <c r="HT207" s="14"/>
      <c r="HU207" s="14"/>
      <c r="HV207" s="14"/>
      <c r="HW207" s="14"/>
      <c r="HX207" s="14"/>
      <c r="HY207" s="14"/>
      <c r="HZ207" s="14"/>
      <c r="IA207" s="14"/>
      <c r="IB207" s="14"/>
      <c r="IC207" s="14"/>
      <c r="ID207" s="14"/>
      <c r="IE207" s="14"/>
      <c r="IF207" s="14"/>
      <c r="IG207" s="14"/>
      <c r="IH207" s="14"/>
      <c r="II207" s="14"/>
      <c r="IJ207" s="14"/>
      <c r="IK207" s="14"/>
      <c r="IL207" s="14"/>
      <c r="IM207" s="14"/>
      <c r="IN207" s="14"/>
      <c r="IO207" s="14"/>
      <c r="IP207" s="14"/>
      <c r="IQ207" s="14"/>
      <c r="IR207" s="14"/>
      <c r="IS207" s="14"/>
      <c r="IT207" s="14"/>
      <c r="IU207" s="14"/>
      <c r="IV207" s="14"/>
      <c r="IW207" s="14"/>
      <c r="IX207" s="14"/>
      <c r="IY207" s="14"/>
      <c r="IZ207" s="14"/>
      <c r="JA207" s="14"/>
      <c r="JB207" s="14"/>
      <c r="JC207" s="14"/>
      <c r="JD207" s="14"/>
      <c r="JE207" s="14"/>
    </row>
    <row r="208" spans="1:265" s="45" customFormat="1">
      <c r="A208" s="368"/>
      <c r="B208" s="14"/>
      <c r="C208" s="14"/>
      <c r="D208" s="14"/>
      <c r="E208" s="14"/>
      <c r="F208" s="14"/>
      <c r="G208" s="14"/>
      <c r="H208" s="14"/>
      <c r="I208" s="14"/>
      <c r="J208" s="14"/>
      <c r="K208" s="339"/>
      <c r="L208" s="209"/>
      <c r="M208" s="209"/>
      <c r="N208" s="209"/>
      <c r="O208" s="14"/>
      <c r="P208" s="14"/>
      <c r="Q208" s="14"/>
      <c r="R208" s="14"/>
      <c r="S208" s="14"/>
      <c r="T208" s="14"/>
      <c r="U208" s="14"/>
      <c r="V208" s="14"/>
      <c r="W208" s="14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  <c r="AH208" s="14"/>
      <c r="AI208" s="14"/>
      <c r="AJ208" s="14"/>
      <c r="AK208" s="14"/>
      <c r="AL208" s="14"/>
      <c r="AM208" s="14"/>
      <c r="AN208" s="14"/>
      <c r="AO208" s="14"/>
      <c r="AP208" s="14"/>
      <c r="AQ208" s="14"/>
      <c r="AR208" s="153"/>
      <c r="AS208" s="32"/>
      <c r="AT208" s="14"/>
      <c r="AU208" s="14"/>
      <c r="AV208" s="14"/>
      <c r="AW208" s="14"/>
      <c r="AX208" s="14"/>
      <c r="AY208" s="190"/>
      <c r="AZ208" s="190"/>
      <c r="BA208" s="190"/>
      <c r="BB208" s="190"/>
      <c r="BC208" s="190"/>
      <c r="BD208" s="190"/>
      <c r="BE208" s="190"/>
      <c r="BF208" s="190"/>
      <c r="BG208" s="190"/>
      <c r="BH208" s="190"/>
      <c r="BI208" s="190"/>
      <c r="BJ208" s="190"/>
      <c r="BK208" s="190"/>
      <c r="BL208" s="190"/>
      <c r="BM208" s="190"/>
      <c r="BN208" s="190"/>
      <c r="BO208" s="190"/>
      <c r="BP208" s="190"/>
      <c r="BQ208" s="190"/>
      <c r="BR208" s="190"/>
      <c r="BS208" s="190"/>
      <c r="BT208" s="191"/>
      <c r="BU208" s="190"/>
      <c r="BV208" s="236"/>
      <c r="BW208" s="236"/>
      <c r="BX208" s="190"/>
      <c r="BY208" s="190"/>
      <c r="BZ208" s="190"/>
      <c r="CA208" s="190"/>
      <c r="CB208" s="190"/>
      <c r="CC208" s="679"/>
      <c r="CD208" s="14"/>
      <c r="CE208" s="14"/>
      <c r="CF208" s="14"/>
      <c r="CG208" s="14"/>
      <c r="CH208" s="243"/>
      <c r="CI208" s="243"/>
      <c r="CJ208" s="14"/>
      <c r="CK208" s="14"/>
      <c r="CL208" s="14"/>
      <c r="CM208" s="14"/>
      <c r="CN208" s="14"/>
      <c r="CO208" s="14"/>
      <c r="CP208" s="14"/>
      <c r="CQ208" s="14"/>
      <c r="CR208" s="14"/>
      <c r="CS208" s="14"/>
      <c r="CT208" s="14"/>
      <c r="CU208" s="14"/>
      <c r="CV208" s="14"/>
      <c r="CW208" s="14"/>
      <c r="CX208" s="366"/>
      <c r="CY208" s="14"/>
      <c r="CZ208" s="14"/>
      <c r="DA208" s="14"/>
      <c r="DB208" s="14"/>
      <c r="DC208" s="14"/>
      <c r="DD208" s="14"/>
      <c r="DE208" s="14"/>
      <c r="DF208" s="14"/>
      <c r="DG208" s="14"/>
      <c r="DH208" s="14"/>
      <c r="DI208" s="14"/>
      <c r="DJ208" s="14"/>
      <c r="DK208" s="14"/>
      <c r="DL208" s="14"/>
      <c r="DM208" s="14"/>
      <c r="DN208" s="14"/>
      <c r="DO208" s="14"/>
      <c r="DP208" s="14"/>
      <c r="DQ208" s="14"/>
      <c r="DR208" s="14"/>
      <c r="DS208" s="14"/>
      <c r="DT208" s="634"/>
      <c r="DU208" s="634"/>
      <c r="DV208" s="33"/>
      <c r="DW208" s="14"/>
      <c r="DX208" s="634"/>
      <c r="DY208" s="14"/>
      <c r="DZ208" s="634"/>
      <c r="EA208" s="14"/>
      <c r="EB208" s="14"/>
      <c r="EC208" s="14"/>
      <c r="ED208" s="14"/>
      <c r="EE208" s="14"/>
      <c r="EF208" s="634"/>
      <c r="EG208" s="634"/>
      <c r="EH208" s="14"/>
      <c r="EI208" s="634"/>
      <c r="EJ208" s="634"/>
      <c r="EK208" s="634"/>
      <c r="EL208" s="14"/>
      <c r="EM208" s="634"/>
      <c r="EN208" s="634"/>
      <c r="EO208" s="14"/>
      <c r="EP208" s="634"/>
      <c r="EQ208" s="634"/>
      <c r="ER208" s="33"/>
      <c r="ES208" s="634"/>
      <c r="ET208" s="634"/>
      <c r="EU208" s="14"/>
      <c r="EV208" s="634"/>
      <c r="EW208" s="634"/>
      <c r="EX208" s="14"/>
      <c r="EY208" s="634"/>
      <c r="EZ208" s="634"/>
      <c r="FA208" s="14"/>
      <c r="FB208" s="634"/>
      <c r="FC208" s="634"/>
      <c r="FD208" s="14"/>
      <c r="FE208" s="634"/>
      <c r="FF208" s="634"/>
      <c r="FG208" s="14"/>
      <c r="FH208" s="634"/>
      <c r="FI208" s="634"/>
      <c r="FJ208" s="14"/>
      <c r="FK208" s="634"/>
      <c r="FL208" s="634"/>
      <c r="FM208" s="634"/>
      <c r="FN208" s="634"/>
      <c r="FO208" s="634"/>
      <c r="FP208" s="14"/>
      <c r="FQ208" s="634"/>
      <c r="FR208" s="634"/>
      <c r="FS208" s="668"/>
      <c r="FT208" s="668"/>
      <c r="FU208" s="668"/>
      <c r="FV208" s="668"/>
      <c r="FZ208" s="659"/>
      <c r="GA208" s="659"/>
      <c r="GC208" s="190"/>
      <c r="GD208" s="726"/>
      <c r="GE208" s="14"/>
      <c r="GF208" s="14"/>
      <c r="GG208" s="14"/>
      <c r="GH208" s="14"/>
      <c r="GI208" s="14"/>
      <c r="GJ208" s="14"/>
      <c r="GK208" s="14"/>
      <c r="GL208" s="14"/>
      <c r="GM208" s="14"/>
      <c r="GN208" s="14"/>
      <c r="GO208" s="14"/>
      <c r="GP208" s="14"/>
      <c r="GQ208" s="14"/>
      <c r="GR208" s="14"/>
      <c r="GS208" s="14"/>
      <c r="GT208" s="14"/>
      <c r="GU208" s="14"/>
      <c r="GV208" s="14"/>
      <c r="GW208" s="14"/>
      <c r="GX208" s="14"/>
      <c r="GY208" s="14"/>
      <c r="GZ208" s="14"/>
      <c r="HA208" s="14"/>
      <c r="HB208" s="14"/>
      <c r="HC208" s="14"/>
      <c r="HD208" s="14"/>
      <c r="HE208" s="14"/>
      <c r="HF208" s="14"/>
      <c r="HG208" s="14"/>
      <c r="HH208" s="14"/>
      <c r="HI208" s="14"/>
      <c r="HJ208" s="14"/>
      <c r="HK208" s="14"/>
      <c r="HL208" s="14"/>
      <c r="HM208" s="14"/>
      <c r="HN208" s="14"/>
      <c r="HO208" s="14"/>
      <c r="HP208" s="14"/>
      <c r="HQ208" s="14"/>
      <c r="HR208" s="14"/>
      <c r="HS208" s="14"/>
      <c r="HT208" s="14"/>
      <c r="HU208" s="14"/>
      <c r="HV208" s="14"/>
      <c r="HW208" s="14"/>
      <c r="HX208" s="14"/>
      <c r="HY208" s="14"/>
      <c r="HZ208" s="14"/>
      <c r="IA208" s="14"/>
      <c r="IB208" s="14"/>
      <c r="IC208" s="14"/>
      <c r="ID208" s="14"/>
      <c r="IE208" s="14"/>
      <c r="IF208" s="14"/>
      <c r="IG208" s="14"/>
      <c r="IH208" s="14"/>
      <c r="II208" s="14"/>
      <c r="IJ208" s="14"/>
      <c r="IK208" s="14"/>
      <c r="IL208" s="14"/>
      <c r="IM208" s="14"/>
      <c r="IN208" s="14"/>
      <c r="IO208" s="14"/>
      <c r="IP208" s="14"/>
      <c r="IQ208" s="14"/>
      <c r="IR208" s="14"/>
      <c r="IS208" s="14"/>
      <c r="IT208" s="14"/>
      <c r="IU208" s="14"/>
      <c r="IV208" s="14"/>
      <c r="IW208" s="14"/>
      <c r="IX208" s="14"/>
      <c r="IY208" s="14"/>
      <c r="IZ208" s="14"/>
      <c r="JA208" s="14"/>
      <c r="JB208" s="14"/>
      <c r="JC208" s="14"/>
      <c r="JD208" s="14"/>
      <c r="JE208" s="14"/>
    </row>
    <row r="209" spans="1:265" s="45" customFormat="1" ht="15.75" thickBot="1">
      <c r="A209" s="368"/>
      <c r="B209" s="33">
        <v>2011</v>
      </c>
      <c r="C209" s="33">
        <v>2012</v>
      </c>
      <c r="D209" s="33">
        <v>2013</v>
      </c>
      <c r="E209" s="33">
        <v>2014</v>
      </c>
      <c r="F209" s="33">
        <v>2015</v>
      </c>
      <c r="G209" s="14"/>
      <c r="H209" s="14"/>
      <c r="I209" s="14"/>
      <c r="J209" s="14"/>
      <c r="K209" s="339"/>
      <c r="L209" s="209"/>
      <c r="M209" s="209"/>
      <c r="N209" s="209"/>
      <c r="O209" s="14"/>
      <c r="P209" s="14"/>
      <c r="Q209" s="14"/>
      <c r="R209" s="14"/>
      <c r="S209" s="14"/>
      <c r="T209" s="14"/>
      <c r="U209" s="14"/>
      <c r="V209" s="14"/>
      <c r="W209" s="14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  <c r="AH209" s="14"/>
      <c r="AI209" s="14"/>
      <c r="AJ209" s="14"/>
      <c r="AK209" s="14"/>
      <c r="AL209" s="14"/>
      <c r="AM209" s="14"/>
      <c r="AN209" s="14"/>
      <c r="AO209" s="14"/>
      <c r="AP209" s="14"/>
      <c r="AQ209" s="14"/>
      <c r="AR209" s="153"/>
      <c r="AS209" s="32"/>
      <c r="AT209" s="14"/>
      <c r="AU209" s="14"/>
      <c r="AV209" s="14"/>
      <c r="AW209" s="14"/>
      <c r="AX209" s="14"/>
      <c r="AY209" s="190"/>
      <c r="AZ209" s="190"/>
      <c r="BA209" s="190"/>
      <c r="BB209" s="190"/>
      <c r="BC209" s="190"/>
      <c r="BD209" s="190"/>
      <c r="BE209" s="190"/>
      <c r="BF209" s="190"/>
      <c r="BG209" s="190"/>
      <c r="BH209" s="190"/>
      <c r="BI209" s="190"/>
      <c r="BJ209" s="190"/>
      <c r="BK209" s="190"/>
      <c r="BL209" s="190"/>
      <c r="BM209" s="190"/>
      <c r="BN209" s="190"/>
      <c r="BO209" s="190"/>
      <c r="BP209" s="190"/>
      <c r="BQ209" s="190"/>
      <c r="BR209" s="190"/>
      <c r="BS209" s="190"/>
      <c r="BT209" s="191"/>
      <c r="BU209" s="190"/>
      <c r="BV209" s="236"/>
      <c r="BW209" s="236"/>
      <c r="BX209" s="190"/>
      <c r="BY209" s="190"/>
      <c r="BZ209" s="190"/>
      <c r="CA209" s="190"/>
      <c r="CB209" s="190"/>
      <c r="CC209" s="679"/>
      <c r="CD209" s="14"/>
      <c r="CE209" s="14"/>
      <c r="CF209" s="14"/>
      <c r="CG209" s="14"/>
      <c r="CH209" s="243"/>
      <c r="CI209" s="243"/>
      <c r="CJ209" s="14"/>
      <c r="CK209" s="14"/>
      <c r="CL209" s="14"/>
      <c r="CM209" s="14"/>
      <c r="CN209" s="14"/>
      <c r="CO209" s="14"/>
      <c r="CP209" s="14"/>
      <c r="CQ209" s="14"/>
      <c r="CR209" s="14"/>
      <c r="CS209" s="14"/>
      <c r="CT209" s="14"/>
      <c r="CU209" s="14"/>
      <c r="CV209" s="14"/>
      <c r="CW209" s="14"/>
      <c r="CX209" s="366"/>
      <c r="CY209" s="14"/>
      <c r="CZ209" s="14"/>
      <c r="DA209" s="14"/>
      <c r="DB209" s="14"/>
      <c r="DC209" s="14"/>
      <c r="DD209" s="14"/>
      <c r="DE209" s="14"/>
      <c r="DF209" s="14"/>
      <c r="DG209" s="14"/>
      <c r="DH209" s="14"/>
      <c r="DI209" s="14"/>
      <c r="DJ209" s="14"/>
      <c r="DK209" s="14"/>
      <c r="DL209" s="14"/>
      <c r="DM209" s="14"/>
      <c r="DN209" s="14"/>
      <c r="DO209" s="14"/>
      <c r="DP209" s="14"/>
      <c r="DQ209" s="14"/>
      <c r="DR209" s="14"/>
      <c r="DS209" s="14"/>
      <c r="DT209" s="634"/>
      <c r="DU209" s="634"/>
      <c r="DV209" s="33"/>
      <c r="DW209" s="14"/>
      <c r="DX209" s="634"/>
      <c r="DY209" s="14"/>
      <c r="DZ209" s="634"/>
      <c r="EA209" s="14"/>
      <c r="EB209" s="14"/>
      <c r="EC209" s="14"/>
      <c r="ED209" s="14"/>
      <c r="EE209" s="14"/>
      <c r="EF209" s="634"/>
      <c r="EG209" s="634"/>
      <c r="EH209" s="14"/>
      <c r="EI209" s="634"/>
      <c r="EJ209" s="634"/>
      <c r="EK209" s="634"/>
      <c r="EL209" s="14"/>
      <c r="EM209" s="634"/>
      <c r="EN209" s="634"/>
      <c r="EO209" s="14"/>
      <c r="EP209" s="634"/>
      <c r="EQ209" s="634"/>
      <c r="ER209" s="33"/>
      <c r="ES209" s="634"/>
      <c r="ET209" s="634"/>
      <c r="EU209" s="14"/>
      <c r="EV209" s="634"/>
      <c r="EW209" s="634"/>
      <c r="EX209" s="14"/>
      <c r="EY209" s="634"/>
      <c r="EZ209" s="634"/>
      <c r="FA209" s="14"/>
      <c r="FB209" s="634"/>
      <c r="FC209" s="634"/>
      <c r="FD209" s="14"/>
      <c r="FE209" s="634"/>
      <c r="FF209" s="634"/>
      <c r="FG209" s="14"/>
      <c r="FH209" s="634"/>
      <c r="FI209" s="634"/>
      <c r="FJ209" s="14"/>
      <c r="FK209" s="634"/>
      <c r="FL209" s="634"/>
      <c r="FM209" s="634"/>
      <c r="FN209" s="634"/>
      <c r="FO209" s="634"/>
      <c r="FP209" s="14"/>
      <c r="FQ209" s="634"/>
      <c r="FR209" s="634"/>
      <c r="FS209" s="668"/>
      <c r="FT209" s="668"/>
      <c r="FU209" s="668"/>
      <c r="FV209" s="668"/>
      <c r="FZ209" s="659"/>
      <c r="GA209" s="659"/>
      <c r="GC209" s="190"/>
      <c r="GD209" s="726"/>
      <c r="GE209" s="14"/>
      <c r="GF209" s="14"/>
      <c r="GG209" s="14"/>
      <c r="GH209" s="14"/>
      <c r="GI209" s="14"/>
      <c r="GJ209" s="14"/>
      <c r="GK209" s="14"/>
      <c r="GL209" s="14"/>
      <c r="GM209" s="14"/>
      <c r="GN209" s="14"/>
      <c r="GO209" s="14"/>
      <c r="GP209" s="14"/>
      <c r="GQ209" s="14"/>
      <c r="GR209" s="14"/>
      <c r="GS209" s="14"/>
      <c r="GT209" s="14"/>
      <c r="GU209" s="14"/>
      <c r="GV209" s="14"/>
      <c r="GW209" s="14"/>
      <c r="GX209" s="14"/>
      <c r="GY209" s="14"/>
      <c r="GZ209" s="14"/>
      <c r="HA209" s="14"/>
      <c r="HB209" s="14"/>
      <c r="HC209" s="14"/>
      <c r="HD209" s="14"/>
      <c r="HE209" s="14"/>
      <c r="HF209" s="14"/>
      <c r="HG209" s="14"/>
      <c r="HH209" s="14"/>
      <c r="HI209" s="14"/>
      <c r="HJ209" s="14"/>
      <c r="HK209" s="14"/>
      <c r="HL209" s="14"/>
      <c r="HM209" s="14"/>
      <c r="HN209" s="14"/>
      <c r="HO209" s="14"/>
      <c r="HP209" s="14"/>
      <c r="HQ209" s="14"/>
      <c r="HR209" s="14"/>
      <c r="HS209" s="14"/>
      <c r="HT209" s="14"/>
      <c r="HU209" s="14"/>
      <c r="HV209" s="14"/>
      <c r="HW209" s="14"/>
      <c r="HX209" s="14"/>
      <c r="HY209" s="14"/>
      <c r="HZ209" s="14"/>
      <c r="IA209" s="14"/>
      <c r="IB209" s="14"/>
      <c r="IC209" s="14"/>
      <c r="ID209" s="14"/>
      <c r="IE209" s="14"/>
      <c r="IF209" s="14"/>
      <c r="IG209" s="14"/>
      <c r="IH209" s="14"/>
      <c r="II209" s="14"/>
      <c r="IJ209" s="14"/>
      <c r="IK209" s="14"/>
      <c r="IL209" s="14"/>
      <c r="IM209" s="14"/>
      <c r="IN209" s="14"/>
      <c r="IO209" s="14"/>
      <c r="IP209" s="14"/>
      <c r="IQ209" s="14"/>
      <c r="IR209" s="14"/>
      <c r="IS209" s="14"/>
      <c r="IT209" s="14"/>
      <c r="IU209" s="14"/>
      <c r="IV209" s="14"/>
      <c r="IW209" s="14"/>
      <c r="IX209" s="14"/>
      <c r="IY209" s="14"/>
      <c r="IZ209" s="14"/>
      <c r="JA209" s="14"/>
      <c r="JB209" s="14"/>
      <c r="JC209" s="14"/>
      <c r="JD209" s="14"/>
      <c r="JE209" s="14"/>
    </row>
    <row r="210" spans="1:265" s="45" customFormat="1">
      <c r="A210" s="371" t="s">
        <v>68</v>
      </c>
      <c r="B210" s="163">
        <f t="shared" ref="B210:B215" si="303">SUMPRODUCT((Notaire=A210)*(Prog=$B$209))</f>
        <v>0</v>
      </c>
      <c r="C210" s="163">
        <f t="shared" ref="C210:C215" si="304">SUMPRODUCT((Notaire=A210)*(Prog=$C$209))</f>
        <v>0</v>
      </c>
      <c r="D210" s="163">
        <f t="shared" ref="D210:D215" si="305">SUMPRODUCT((Notaire=A210)*(Prog=$D$209))</f>
        <v>0</v>
      </c>
      <c r="E210" s="163">
        <f t="shared" ref="E210:E215" si="306">SUMPRODUCT((Notaire=A210)*(Prog=$E$209))</f>
        <v>2</v>
      </c>
      <c r="F210" s="163">
        <f t="shared" ref="F210:F215" si="307">SUMPRODUCT((Notaire=A210)*(Prog=$F$209))</f>
        <v>1</v>
      </c>
      <c r="G210" s="14"/>
      <c r="H210" s="14"/>
      <c r="I210" s="14"/>
      <c r="J210" s="14"/>
      <c r="K210" s="339"/>
      <c r="L210" s="209"/>
      <c r="M210" s="209"/>
      <c r="N210" s="209"/>
      <c r="O210" s="14"/>
      <c r="P210" s="14"/>
      <c r="Q210" s="14"/>
      <c r="R210" s="14"/>
      <c r="S210" s="14"/>
      <c r="T210" s="14"/>
      <c r="U210" s="14"/>
      <c r="V210" s="14"/>
      <c r="W210" s="14"/>
      <c r="X210" s="14"/>
      <c r="Y210" s="14"/>
      <c r="Z210" s="14"/>
      <c r="AA210" s="14"/>
      <c r="AB210" s="14"/>
      <c r="AC210" s="14"/>
      <c r="AD210" s="14"/>
      <c r="AE210" s="14"/>
      <c r="AF210" s="14"/>
      <c r="AG210" s="14"/>
      <c r="AH210" s="14"/>
      <c r="AI210" s="14"/>
      <c r="AJ210" s="14"/>
      <c r="AK210" s="14"/>
      <c r="AL210" s="14"/>
      <c r="AM210" s="14"/>
      <c r="AN210" s="14"/>
      <c r="AO210" s="14"/>
      <c r="AP210" s="14"/>
      <c r="AQ210" s="14"/>
      <c r="AR210" s="153"/>
      <c r="AS210" s="32"/>
      <c r="AT210" s="14"/>
      <c r="AU210" s="14"/>
      <c r="AV210" s="14"/>
      <c r="AW210" s="14"/>
      <c r="AX210" s="14"/>
      <c r="AY210" s="190"/>
      <c r="AZ210" s="190"/>
      <c r="BA210" s="190"/>
      <c r="BB210" s="190"/>
      <c r="BC210" s="190"/>
      <c r="BD210" s="190"/>
      <c r="BE210" s="190"/>
      <c r="BF210" s="190"/>
      <c r="BG210" s="190"/>
      <c r="BH210" s="190"/>
      <c r="BI210" s="190"/>
      <c r="BJ210" s="190"/>
      <c r="BK210" s="190"/>
      <c r="BL210" s="190"/>
      <c r="BM210" s="190"/>
      <c r="BN210" s="190"/>
      <c r="BO210" s="190"/>
      <c r="BP210" s="190"/>
      <c r="BQ210" s="190"/>
      <c r="BR210" s="190"/>
      <c r="BS210" s="190"/>
      <c r="BT210" s="191"/>
      <c r="BU210" s="190"/>
      <c r="BV210" s="236"/>
      <c r="BW210" s="236"/>
      <c r="BX210" s="190"/>
      <c r="BY210" s="190"/>
      <c r="BZ210" s="190"/>
      <c r="CA210" s="190"/>
      <c r="CB210" s="190"/>
      <c r="CC210" s="679"/>
      <c r="CD210" s="14"/>
      <c r="CE210" s="14"/>
      <c r="CF210" s="14"/>
      <c r="CG210" s="14"/>
      <c r="CH210" s="243"/>
      <c r="CI210" s="243"/>
      <c r="CJ210" s="14"/>
      <c r="CK210" s="14"/>
      <c r="CL210" s="14"/>
      <c r="CM210" s="14"/>
      <c r="CN210" s="14"/>
      <c r="CO210" s="14"/>
      <c r="CP210" s="14"/>
      <c r="CQ210" s="14"/>
      <c r="CR210" s="14"/>
      <c r="CS210" s="14"/>
      <c r="CT210" s="14"/>
      <c r="CU210" s="14"/>
      <c r="CV210" s="14"/>
      <c r="CW210" s="14"/>
      <c r="CX210" s="366"/>
      <c r="CY210" s="14"/>
      <c r="CZ210" s="14"/>
      <c r="DA210" s="14"/>
      <c r="DB210" s="14"/>
      <c r="DC210" s="14"/>
      <c r="DD210" s="14"/>
      <c r="DE210" s="14"/>
      <c r="DF210" s="14"/>
      <c r="DG210" s="14"/>
      <c r="DH210" s="14"/>
      <c r="DI210" s="14"/>
      <c r="DJ210" s="14"/>
      <c r="DK210" s="14"/>
      <c r="DL210" s="14"/>
      <c r="DM210" s="14"/>
      <c r="DN210" s="14"/>
      <c r="DO210" s="14"/>
      <c r="DP210" s="14"/>
      <c r="DQ210" s="14"/>
      <c r="DR210" s="14"/>
      <c r="DS210" s="14"/>
      <c r="DT210" s="634"/>
      <c r="DU210" s="634"/>
      <c r="DV210" s="33"/>
      <c r="DW210" s="14"/>
      <c r="DX210" s="634"/>
      <c r="DY210" s="14"/>
      <c r="DZ210" s="634"/>
      <c r="EA210" s="14"/>
      <c r="EB210" s="14"/>
      <c r="EC210" s="14"/>
      <c r="ED210" s="14"/>
      <c r="EE210" s="14"/>
      <c r="EF210" s="634"/>
      <c r="EG210" s="634"/>
      <c r="EH210" s="14"/>
      <c r="EI210" s="634"/>
      <c r="EJ210" s="634"/>
      <c r="EK210" s="634"/>
      <c r="EL210" s="14"/>
      <c r="EM210" s="634"/>
      <c r="EN210" s="634"/>
      <c r="EO210" s="14"/>
      <c r="EP210" s="634"/>
      <c r="EQ210" s="634"/>
      <c r="ER210" s="33"/>
      <c r="ES210" s="634"/>
      <c r="ET210" s="634"/>
      <c r="EU210" s="14"/>
      <c r="EV210" s="634"/>
      <c r="EW210" s="634"/>
      <c r="EX210" s="14"/>
      <c r="EY210" s="634"/>
      <c r="EZ210" s="634"/>
      <c r="FA210" s="14"/>
      <c r="FB210" s="634"/>
      <c r="FC210" s="634"/>
      <c r="FD210" s="14"/>
      <c r="FE210" s="634"/>
      <c r="FF210" s="634"/>
      <c r="FG210" s="14"/>
      <c r="FH210" s="634"/>
      <c r="FI210" s="634"/>
      <c r="FJ210" s="14"/>
      <c r="FK210" s="634"/>
      <c r="FL210" s="634"/>
      <c r="FM210" s="634"/>
      <c r="FN210" s="634"/>
      <c r="FO210" s="634"/>
      <c r="FP210" s="14"/>
      <c r="FQ210" s="634"/>
      <c r="FR210" s="634"/>
      <c r="FS210" s="668"/>
      <c r="FT210" s="668"/>
      <c r="FU210" s="668"/>
      <c r="FV210" s="668"/>
      <c r="FZ210" s="659"/>
      <c r="GA210" s="659"/>
      <c r="GC210" s="190"/>
      <c r="GD210" s="726"/>
      <c r="GE210" s="14"/>
      <c r="GF210" s="14"/>
      <c r="GG210" s="14"/>
      <c r="GH210" s="14"/>
      <c r="GI210" s="14"/>
      <c r="GJ210" s="14"/>
      <c r="GK210" s="14"/>
      <c r="GL210" s="14"/>
      <c r="GM210" s="14"/>
      <c r="GN210" s="14"/>
      <c r="GO210" s="14"/>
      <c r="GP210" s="14"/>
      <c r="GQ210" s="14"/>
      <c r="GR210" s="14"/>
      <c r="GS210" s="14"/>
      <c r="GT210" s="14"/>
      <c r="GU210" s="14"/>
      <c r="GV210" s="14"/>
      <c r="GW210" s="14"/>
      <c r="GX210" s="14"/>
      <c r="GY210" s="14"/>
      <c r="GZ210" s="14"/>
      <c r="HA210" s="14"/>
      <c r="HB210" s="14"/>
      <c r="HC210" s="14"/>
      <c r="HD210" s="14"/>
      <c r="HE210" s="14"/>
      <c r="HF210" s="14"/>
      <c r="HG210" s="14"/>
      <c r="HH210" s="14"/>
      <c r="HI210" s="14"/>
      <c r="HJ210" s="14"/>
      <c r="HK210" s="14"/>
      <c r="HL210" s="14"/>
      <c r="HM210" s="14"/>
      <c r="HN210" s="14"/>
      <c r="HO210" s="14"/>
      <c r="HP210" s="14"/>
      <c r="HQ210" s="14"/>
      <c r="HR210" s="14"/>
      <c r="HS210" s="14"/>
      <c r="HT210" s="14"/>
      <c r="HU210" s="14"/>
      <c r="HV210" s="14"/>
      <c r="HW210" s="14"/>
      <c r="HX210" s="14"/>
      <c r="HY210" s="14"/>
      <c r="HZ210" s="14"/>
      <c r="IA210" s="14"/>
      <c r="IB210" s="14"/>
      <c r="IC210" s="14"/>
      <c r="ID210" s="14"/>
      <c r="IE210" s="14"/>
      <c r="IF210" s="14"/>
      <c r="IG210" s="14"/>
      <c r="IH210" s="14"/>
      <c r="II210" s="14"/>
      <c r="IJ210" s="14"/>
      <c r="IK210" s="14"/>
      <c r="IL210" s="14"/>
      <c r="IM210" s="14"/>
      <c r="IN210" s="14"/>
      <c r="IO210" s="14"/>
      <c r="IP210" s="14"/>
      <c r="IQ210" s="14"/>
      <c r="IR210" s="14"/>
      <c r="IS210" s="14"/>
      <c r="IT210" s="14"/>
      <c r="IU210" s="14"/>
      <c r="IV210" s="14"/>
      <c r="IW210" s="14"/>
      <c r="IX210" s="14"/>
      <c r="IY210" s="14"/>
      <c r="IZ210" s="14"/>
      <c r="JA210" s="14"/>
      <c r="JB210" s="14"/>
      <c r="JC210" s="14"/>
      <c r="JD210" s="14"/>
      <c r="JE210" s="14"/>
    </row>
    <row r="211" spans="1:265" s="45" customFormat="1">
      <c r="A211" s="372" t="s">
        <v>191</v>
      </c>
      <c r="B211" s="164">
        <f t="shared" si="303"/>
        <v>1</v>
      </c>
      <c r="C211" s="164">
        <f t="shared" si="304"/>
        <v>0</v>
      </c>
      <c r="D211" s="164">
        <f t="shared" si="305"/>
        <v>0</v>
      </c>
      <c r="E211" s="164">
        <f t="shared" si="306"/>
        <v>0</v>
      </c>
      <c r="F211" s="164">
        <f t="shared" si="307"/>
        <v>0</v>
      </c>
      <c r="G211" s="14"/>
      <c r="H211" s="14"/>
      <c r="I211" s="14"/>
      <c r="J211" s="14"/>
      <c r="K211" s="339"/>
      <c r="L211" s="209"/>
      <c r="M211" s="209"/>
      <c r="N211" s="209"/>
      <c r="O211" s="14"/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  <c r="AH211" s="14"/>
      <c r="AI211" s="14"/>
      <c r="AJ211" s="14"/>
      <c r="AK211" s="14"/>
      <c r="AL211" s="14"/>
      <c r="AM211" s="14"/>
      <c r="AN211" s="14"/>
      <c r="AO211" s="14"/>
      <c r="AP211" s="14"/>
      <c r="AQ211" s="14"/>
      <c r="AR211" s="153"/>
      <c r="AS211" s="32"/>
      <c r="AT211" s="14"/>
      <c r="AU211" s="14"/>
      <c r="AV211" s="14"/>
      <c r="AW211" s="14"/>
      <c r="AX211" s="14"/>
      <c r="AY211" s="190"/>
      <c r="AZ211" s="190"/>
      <c r="BA211" s="190"/>
      <c r="BB211" s="190"/>
      <c r="BC211" s="190"/>
      <c r="BD211" s="190"/>
      <c r="BE211" s="190"/>
      <c r="BF211" s="190"/>
      <c r="BG211" s="190"/>
      <c r="BH211" s="190"/>
      <c r="BI211" s="190"/>
      <c r="BJ211" s="190"/>
      <c r="BK211" s="190"/>
      <c r="BL211" s="190"/>
      <c r="BM211" s="190"/>
      <c r="BN211" s="190"/>
      <c r="BO211" s="190"/>
      <c r="BP211" s="190"/>
      <c r="BQ211" s="190"/>
      <c r="BR211" s="190"/>
      <c r="BS211" s="190"/>
      <c r="BT211" s="191"/>
      <c r="BU211" s="190"/>
      <c r="BV211" s="236"/>
      <c r="BW211" s="236"/>
      <c r="BX211" s="190"/>
      <c r="BY211" s="190"/>
      <c r="BZ211" s="190"/>
      <c r="CA211" s="190"/>
      <c r="CB211" s="190"/>
      <c r="CC211" s="679"/>
      <c r="CD211" s="14"/>
      <c r="CE211" s="14"/>
      <c r="CF211" s="14"/>
      <c r="CG211" s="14"/>
      <c r="CH211" s="243"/>
      <c r="CI211" s="243"/>
      <c r="CJ211" s="14"/>
      <c r="CK211" s="14"/>
      <c r="CL211" s="14"/>
      <c r="CM211" s="14"/>
      <c r="CN211" s="14"/>
      <c r="CO211" s="14"/>
      <c r="CP211" s="14"/>
      <c r="CQ211" s="14"/>
      <c r="CR211" s="14"/>
      <c r="CS211" s="14"/>
      <c r="CT211" s="14"/>
      <c r="CU211" s="14"/>
      <c r="CV211" s="14"/>
      <c r="CW211" s="14"/>
      <c r="CX211" s="366"/>
      <c r="CY211" s="14"/>
      <c r="CZ211" s="14"/>
      <c r="DA211" s="14"/>
      <c r="DB211" s="14"/>
      <c r="DC211" s="14"/>
      <c r="DD211" s="14"/>
      <c r="DE211" s="14"/>
      <c r="DF211" s="14"/>
      <c r="DG211" s="14"/>
      <c r="DH211" s="14"/>
      <c r="DI211" s="14"/>
      <c r="DJ211" s="14"/>
      <c r="DK211" s="14"/>
      <c r="DL211" s="14"/>
      <c r="DM211" s="14"/>
      <c r="DN211" s="14"/>
      <c r="DO211" s="14"/>
      <c r="DP211" s="14"/>
      <c r="DQ211" s="14"/>
      <c r="DR211" s="14"/>
      <c r="DS211" s="14"/>
      <c r="DT211" s="634"/>
      <c r="DU211" s="634"/>
      <c r="DV211" s="33"/>
      <c r="DW211" s="14"/>
      <c r="DX211" s="634"/>
      <c r="DY211" s="14"/>
      <c r="DZ211" s="634"/>
      <c r="EA211" s="14"/>
      <c r="EB211" s="14"/>
      <c r="EC211" s="14"/>
      <c r="ED211" s="14"/>
      <c r="EE211" s="14"/>
      <c r="EF211" s="634"/>
      <c r="EG211" s="634"/>
      <c r="EH211" s="14"/>
      <c r="EI211" s="634"/>
      <c r="EJ211" s="634"/>
      <c r="EK211" s="634"/>
      <c r="EL211" s="14"/>
      <c r="EM211" s="634"/>
      <c r="EN211" s="634"/>
      <c r="EO211" s="14"/>
      <c r="EP211" s="634"/>
      <c r="EQ211" s="634"/>
      <c r="ER211" s="33"/>
      <c r="ES211" s="634"/>
      <c r="ET211" s="634"/>
      <c r="EU211" s="14"/>
      <c r="EV211" s="634"/>
      <c r="EW211" s="634"/>
      <c r="EX211" s="14"/>
      <c r="EY211" s="634"/>
      <c r="EZ211" s="634"/>
      <c r="FA211" s="14"/>
      <c r="FB211" s="634"/>
      <c r="FC211" s="634"/>
      <c r="FD211" s="14"/>
      <c r="FE211" s="634"/>
      <c r="FF211" s="634"/>
      <c r="FG211" s="14"/>
      <c r="FH211" s="634"/>
      <c r="FI211" s="634"/>
      <c r="FJ211" s="14"/>
      <c r="FK211" s="634"/>
      <c r="FL211" s="634"/>
      <c r="FM211" s="634"/>
      <c r="FN211" s="634"/>
      <c r="FO211" s="634"/>
      <c r="FP211" s="14"/>
      <c r="FQ211" s="634"/>
      <c r="FR211" s="634"/>
      <c r="FS211" s="668"/>
      <c r="FT211" s="668"/>
      <c r="FU211" s="668"/>
      <c r="FV211" s="668"/>
      <c r="FZ211" s="659"/>
      <c r="GA211" s="659"/>
      <c r="GC211" s="190"/>
      <c r="GD211" s="726"/>
      <c r="GE211" s="14"/>
      <c r="GF211" s="14"/>
      <c r="GG211" s="14"/>
      <c r="GH211" s="14"/>
      <c r="GI211" s="14"/>
      <c r="GJ211" s="14"/>
      <c r="GK211" s="14"/>
      <c r="GL211" s="14"/>
      <c r="GM211" s="14"/>
      <c r="GN211" s="14"/>
      <c r="GO211" s="14"/>
      <c r="GP211" s="14"/>
      <c r="GQ211" s="14"/>
      <c r="GR211" s="14"/>
      <c r="GS211" s="14"/>
      <c r="GT211" s="14"/>
      <c r="GU211" s="14"/>
      <c r="GV211" s="14"/>
      <c r="GW211" s="14"/>
      <c r="GX211" s="14"/>
      <c r="GY211" s="14"/>
      <c r="GZ211" s="14"/>
      <c r="HA211" s="14"/>
      <c r="HB211" s="14"/>
      <c r="HC211" s="14"/>
      <c r="HD211" s="14"/>
      <c r="HE211" s="14"/>
      <c r="HF211" s="14"/>
      <c r="HG211" s="14"/>
      <c r="HH211" s="14"/>
      <c r="HI211" s="14"/>
      <c r="HJ211" s="14"/>
      <c r="HK211" s="14"/>
      <c r="HL211" s="14"/>
      <c r="HM211" s="14"/>
      <c r="HN211" s="14"/>
      <c r="HO211" s="14"/>
      <c r="HP211" s="14"/>
      <c r="HQ211" s="14"/>
      <c r="HR211" s="14"/>
      <c r="HS211" s="14"/>
      <c r="HT211" s="14"/>
      <c r="HU211" s="14"/>
      <c r="HV211" s="14"/>
      <c r="HW211" s="14"/>
      <c r="HX211" s="14"/>
      <c r="HY211" s="14"/>
      <c r="HZ211" s="14"/>
      <c r="IA211" s="14"/>
      <c r="IB211" s="14"/>
      <c r="IC211" s="14"/>
      <c r="ID211" s="14"/>
      <c r="IE211" s="14"/>
      <c r="IF211" s="14"/>
      <c r="IG211" s="14"/>
      <c r="IH211" s="14"/>
      <c r="II211" s="14"/>
      <c r="IJ211" s="14"/>
      <c r="IK211" s="14"/>
      <c r="IL211" s="14"/>
      <c r="IM211" s="14"/>
      <c r="IN211" s="14"/>
      <c r="IO211" s="14"/>
      <c r="IP211" s="14"/>
      <c r="IQ211" s="14"/>
      <c r="IR211" s="14"/>
      <c r="IS211" s="14"/>
      <c r="IT211" s="14"/>
      <c r="IU211" s="14"/>
      <c r="IV211" s="14"/>
      <c r="IW211" s="14"/>
      <c r="IX211" s="14"/>
      <c r="IY211" s="14"/>
      <c r="IZ211" s="14"/>
      <c r="JA211" s="14"/>
      <c r="JB211" s="14"/>
      <c r="JC211" s="14"/>
      <c r="JD211" s="14"/>
      <c r="JE211" s="14"/>
    </row>
    <row r="212" spans="1:265" s="45" customFormat="1">
      <c r="A212" s="372" t="s">
        <v>149</v>
      </c>
      <c r="B212" s="164">
        <f t="shared" si="303"/>
        <v>1</v>
      </c>
      <c r="C212" s="164">
        <f t="shared" si="304"/>
        <v>3</v>
      </c>
      <c r="D212" s="164">
        <f t="shared" si="305"/>
        <v>3</v>
      </c>
      <c r="E212" s="164">
        <f t="shared" si="306"/>
        <v>1</v>
      </c>
      <c r="F212" s="164">
        <f t="shared" si="307"/>
        <v>3</v>
      </c>
      <c r="G212" s="14"/>
      <c r="H212" s="14"/>
      <c r="I212" s="14"/>
      <c r="J212" s="14"/>
      <c r="K212" s="339"/>
      <c r="L212" s="209"/>
      <c r="M212" s="209"/>
      <c r="N212" s="209"/>
      <c r="O212" s="14"/>
      <c r="P212" s="14"/>
      <c r="Q212" s="14"/>
      <c r="R212" s="14"/>
      <c r="S212" s="14"/>
      <c r="T212" s="14"/>
      <c r="U212" s="14"/>
      <c r="V212" s="14"/>
      <c r="W212" s="14"/>
      <c r="X212" s="14"/>
      <c r="Y212" s="14"/>
      <c r="Z212" s="14"/>
      <c r="AA212" s="14"/>
      <c r="AB212" s="14"/>
      <c r="AC212" s="14"/>
      <c r="AD212" s="14"/>
      <c r="AE212" s="14"/>
      <c r="AF212" s="14"/>
      <c r="AG212" s="14"/>
      <c r="AH212" s="14"/>
      <c r="AI212" s="14"/>
      <c r="AJ212" s="14"/>
      <c r="AK212" s="14"/>
      <c r="AL212" s="14"/>
      <c r="AM212" s="14"/>
      <c r="AN212" s="14"/>
      <c r="AO212" s="14"/>
      <c r="AP212" s="14"/>
      <c r="AQ212" s="14"/>
      <c r="AR212" s="153"/>
      <c r="AS212" s="32"/>
      <c r="AT212" s="14"/>
      <c r="AU212" s="14"/>
      <c r="AV212" s="14"/>
      <c r="AW212" s="14"/>
      <c r="AX212" s="14"/>
      <c r="AY212" s="190"/>
      <c r="AZ212" s="190"/>
      <c r="BA212" s="190"/>
      <c r="BB212" s="190"/>
      <c r="BC212" s="190"/>
      <c r="BD212" s="190"/>
      <c r="BE212" s="190"/>
      <c r="BF212" s="190"/>
      <c r="BG212" s="190"/>
      <c r="BH212" s="190"/>
      <c r="BI212" s="190"/>
      <c r="BJ212" s="190"/>
      <c r="BK212" s="190"/>
      <c r="BL212" s="190"/>
      <c r="BM212" s="190"/>
      <c r="BN212" s="190"/>
      <c r="BO212" s="190"/>
      <c r="BP212" s="190"/>
      <c r="BQ212" s="190"/>
      <c r="BR212" s="190"/>
      <c r="BS212" s="190"/>
      <c r="BT212" s="191"/>
      <c r="BU212" s="190"/>
      <c r="BV212" s="236"/>
      <c r="BW212" s="236"/>
      <c r="BX212" s="190"/>
      <c r="BY212" s="190"/>
      <c r="BZ212" s="190"/>
      <c r="CA212" s="190"/>
      <c r="CB212" s="190"/>
      <c r="CC212" s="679"/>
      <c r="CD212" s="14"/>
      <c r="CE212" s="14"/>
      <c r="CF212" s="14"/>
      <c r="CG212" s="14"/>
      <c r="CH212" s="243"/>
      <c r="CI212" s="243"/>
      <c r="CJ212" s="14"/>
      <c r="CK212" s="14"/>
      <c r="CL212" s="14"/>
      <c r="CM212" s="14"/>
      <c r="CN212" s="14"/>
      <c r="CO212" s="14"/>
      <c r="CP212" s="14"/>
      <c r="CQ212" s="14"/>
      <c r="CR212" s="14"/>
      <c r="CS212" s="14"/>
      <c r="CT212" s="14"/>
      <c r="CU212" s="14"/>
      <c r="CV212" s="14"/>
      <c r="CW212" s="14"/>
      <c r="CX212" s="366"/>
      <c r="CY212" s="14"/>
      <c r="CZ212" s="14"/>
      <c r="DA212" s="14"/>
      <c r="DB212" s="14"/>
      <c r="DC212" s="14"/>
      <c r="DD212" s="14"/>
      <c r="DE212" s="14"/>
      <c r="DF212" s="14"/>
      <c r="DG212" s="14"/>
      <c r="DH212" s="14"/>
      <c r="DI212" s="14"/>
      <c r="DJ212" s="14"/>
      <c r="DK212" s="14"/>
      <c r="DL212" s="14"/>
      <c r="DM212" s="14"/>
      <c r="DN212" s="14"/>
      <c r="DO212" s="14"/>
      <c r="DP212" s="14"/>
      <c r="DQ212" s="14"/>
      <c r="DR212" s="14"/>
      <c r="DS212" s="14"/>
      <c r="DT212" s="634"/>
      <c r="DU212" s="634"/>
      <c r="DV212" s="33"/>
      <c r="DW212" s="14"/>
      <c r="DX212" s="634"/>
      <c r="DY212" s="14"/>
      <c r="DZ212" s="634"/>
      <c r="EA212" s="14"/>
      <c r="EB212" s="14"/>
      <c r="EC212" s="14"/>
      <c r="ED212" s="14"/>
      <c r="EE212" s="14"/>
      <c r="EF212" s="634"/>
      <c r="EG212" s="634"/>
      <c r="EH212" s="14"/>
      <c r="EI212" s="634"/>
      <c r="EJ212" s="634"/>
      <c r="EK212" s="634"/>
      <c r="EL212" s="14"/>
      <c r="EM212" s="634"/>
      <c r="EN212" s="634"/>
      <c r="EO212" s="14"/>
      <c r="EP212" s="634"/>
      <c r="EQ212" s="634"/>
      <c r="ER212" s="33"/>
      <c r="ES212" s="634"/>
      <c r="ET212" s="634"/>
      <c r="EU212" s="14"/>
      <c r="EV212" s="634"/>
      <c r="EW212" s="634"/>
      <c r="EX212" s="14"/>
      <c r="EY212" s="634"/>
      <c r="EZ212" s="634"/>
      <c r="FA212" s="14"/>
      <c r="FB212" s="634"/>
      <c r="FC212" s="634"/>
      <c r="FD212" s="14"/>
      <c r="FE212" s="634"/>
      <c r="FF212" s="634"/>
      <c r="FG212" s="14"/>
      <c r="FH212" s="634"/>
      <c r="FI212" s="634"/>
      <c r="FJ212" s="14"/>
      <c r="FK212" s="634"/>
      <c r="FL212" s="634"/>
      <c r="FM212" s="634"/>
      <c r="FN212" s="634"/>
      <c r="FO212" s="634"/>
      <c r="FP212" s="14"/>
      <c r="FQ212" s="634"/>
      <c r="FR212" s="634"/>
      <c r="FS212" s="668"/>
      <c r="FT212" s="668"/>
      <c r="FU212" s="668"/>
      <c r="FV212" s="668"/>
      <c r="FZ212" s="659"/>
      <c r="GA212" s="659"/>
      <c r="GC212" s="190"/>
      <c r="GD212" s="726"/>
      <c r="GE212" s="14"/>
      <c r="GF212" s="14"/>
      <c r="GG212" s="14"/>
      <c r="GH212" s="14"/>
      <c r="GI212" s="14"/>
      <c r="GJ212" s="14"/>
      <c r="GK212" s="14"/>
      <c r="GL212" s="14"/>
      <c r="GM212" s="14"/>
      <c r="GN212" s="14"/>
      <c r="GO212" s="14"/>
      <c r="GP212" s="14"/>
      <c r="GQ212" s="14"/>
      <c r="GR212" s="14"/>
      <c r="GS212" s="14"/>
      <c r="GT212" s="14"/>
      <c r="GU212" s="14"/>
      <c r="GV212" s="14"/>
      <c r="GW212" s="14"/>
      <c r="GX212" s="14"/>
      <c r="GY212" s="14"/>
      <c r="GZ212" s="14"/>
      <c r="HA212" s="14"/>
      <c r="HB212" s="14"/>
      <c r="HC212" s="14"/>
      <c r="HD212" s="14"/>
      <c r="HE212" s="14"/>
      <c r="HF212" s="14"/>
      <c r="HG212" s="14"/>
      <c r="HH212" s="14"/>
      <c r="HI212" s="14"/>
      <c r="HJ212" s="14"/>
      <c r="HK212" s="14"/>
      <c r="HL212" s="14"/>
      <c r="HM212" s="14"/>
      <c r="HN212" s="14"/>
      <c r="HO212" s="14"/>
      <c r="HP212" s="14"/>
      <c r="HQ212" s="14"/>
      <c r="HR212" s="14"/>
      <c r="HS212" s="14"/>
      <c r="HT212" s="14"/>
      <c r="HU212" s="14"/>
      <c r="HV212" s="14"/>
      <c r="HW212" s="14"/>
      <c r="HX212" s="14"/>
      <c r="HY212" s="14"/>
      <c r="HZ212" s="14"/>
      <c r="IA212" s="14"/>
      <c r="IB212" s="14"/>
      <c r="IC212" s="14"/>
      <c r="ID212" s="14"/>
      <c r="IE212" s="14"/>
      <c r="IF212" s="14"/>
      <c r="IG212" s="14"/>
      <c r="IH212" s="14"/>
      <c r="II212" s="14"/>
      <c r="IJ212" s="14"/>
      <c r="IK212" s="14"/>
      <c r="IL212" s="14"/>
      <c r="IM212" s="14"/>
      <c r="IN212" s="14"/>
      <c r="IO212" s="14"/>
      <c r="IP212" s="14"/>
      <c r="IQ212" s="14"/>
      <c r="IR212" s="14"/>
      <c r="IS212" s="14"/>
      <c r="IT212" s="14"/>
      <c r="IU212" s="14"/>
      <c r="IV212" s="14"/>
      <c r="IW212" s="14"/>
      <c r="IX212" s="14"/>
      <c r="IY212" s="14"/>
      <c r="IZ212" s="14"/>
      <c r="JA212" s="14"/>
      <c r="JB212" s="14"/>
      <c r="JC212" s="14"/>
      <c r="JD212" s="14"/>
      <c r="JE212" s="14"/>
    </row>
    <row r="213" spans="1:265" s="45" customFormat="1">
      <c r="A213" s="372" t="s">
        <v>143</v>
      </c>
      <c r="B213" s="164">
        <f t="shared" si="303"/>
        <v>1</v>
      </c>
      <c r="C213" s="164">
        <f t="shared" si="304"/>
        <v>1</v>
      </c>
      <c r="D213" s="164">
        <f t="shared" si="305"/>
        <v>2</v>
      </c>
      <c r="E213" s="164">
        <f t="shared" si="306"/>
        <v>1</v>
      </c>
      <c r="F213" s="164">
        <f t="shared" si="307"/>
        <v>0</v>
      </c>
      <c r="G213" s="14"/>
      <c r="H213" s="14"/>
      <c r="I213" s="14"/>
      <c r="J213" s="14"/>
      <c r="K213" s="339"/>
      <c r="L213" s="209"/>
      <c r="M213" s="209"/>
      <c r="N213" s="209"/>
      <c r="O213" s="14"/>
      <c r="P213" s="14"/>
      <c r="Q213" s="14"/>
      <c r="R213" s="14"/>
      <c r="S213" s="14"/>
      <c r="T213" s="14"/>
      <c r="U213" s="14"/>
      <c r="V213" s="14"/>
      <c r="W213" s="14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  <c r="AH213" s="14"/>
      <c r="AI213" s="14"/>
      <c r="AJ213" s="14"/>
      <c r="AK213" s="14"/>
      <c r="AL213" s="14"/>
      <c r="AM213" s="14"/>
      <c r="AN213" s="14"/>
      <c r="AO213" s="14"/>
      <c r="AP213" s="14"/>
      <c r="AQ213" s="14"/>
      <c r="AR213" s="153"/>
      <c r="AS213" s="32"/>
      <c r="AT213" s="14"/>
      <c r="AU213" s="14"/>
      <c r="AV213" s="14"/>
      <c r="AW213" s="14"/>
      <c r="AX213" s="14"/>
      <c r="AY213" s="190"/>
      <c r="AZ213" s="190"/>
      <c r="BA213" s="190"/>
      <c r="BB213" s="190"/>
      <c r="BC213" s="190"/>
      <c r="BD213" s="190"/>
      <c r="BE213" s="190"/>
      <c r="BF213" s="190"/>
      <c r="BG213" s="190"/>
      <c r="BH213" s="190"/>
      <c r="BI213" s="190"/>
      <c r="BJ213" s="190"/>
      <c r="BK213" s="190"/>
      <c r="BL213" s="190"/>
      <c r="BM213" s="190"/>
      <c r="BN213" s="190"/>
      <c r="BO213" s="190"/>
      <c r="BP213" s="190"/>
      <c r="BQ213" s="190"/>
      <c r="BR213" s="190"/>
      <c r="BS213" s="190"/>
      <c r="BT213" s="191"/>
      <c r="BU213" s="190"/>
      <c r="BV213" s="236"/>
      <c r="BW213" s="236"/>
      <c r="BX213" s="190"/>
      <c r="BY213" s="190"/>
      <c r="BZ213" s="190"/>
      <c r="CA213" s="190"/>
      <c r="CB213" s="190"/>
      <c r="CC213" s="679"/>
      <c r="CD213" s="14"/>
      <c r="CE213" s="14"/>
      <c r="CF213" s="14"/>
      <c r="CG213" s="14"/>
      <c r="CH213" s="243"/>
      <c r="CI213" s="243"/>
      <c r="CJ213" s="14"/>
      <c r="CK213" s="14"/>
      <c r="CL213" s="14"/>
      <c r="CM213" s="14"/>
      <c r="CN213" s="14"/>
      <c r="CO213" s="14"/>
      <c r="CP213" s="14"/>
      <c r="CQ213" s="14"/>
      <c r="CR213" s="14"/>
      <c r="CS213" s="14"/>
      <c r="CT213" s="14"/>
      <c r="CU213" s="14"/>
      <c r="CV213" s="14"/>
      <c r="CW213" s="14"/>
      <c r="CX213" s="366"/>
      <c r="CY213" s="14"/>
      <c r="CZ213" s="14"/>
      <c r="DA213" s="14"/>
      <c r="DB213" s="14"/>
      <c r="DC213" s="14"/>
      <c r="DD213" s="14"/>
      <c r="DE213" s="14"/>
      <c r="DF213" s="14"/>
      <c r="DG213" s="14"/>
      <c r="DH213" s="14"/>
      <c r="DI213" s="14"/>
      <c r="DJ213" s="14"/>
      <c r="DK213" s="14"/>
      <c r="DL213" s="14"/>
      <c r="DM213" s="14"/>
      <c r="DN213" s="14"/>
      <c r="DO213" s="14"/>
      <c r="DP213" s="14"/>
      <c r="DQ213" s="14"/>
      <c r="DR213" s="14"/>
      <c r="DS213" s="14"/>
      <c r="DT213" s="634"/>
      <c r="DU213" s="634"/>
      <c r="DV213" s="33"/>
      <c r="DW213" s="14"/>
      <c r="DX213" s="634"/>
      <c r="DY213" s="14"/>
      <c r="DZ213" s="634"/>
      <c r="EA213" s="14"/>
      <c r="EB213" s="14"/>
      <c r="EC213" s="14"/>
      <c r="ED213" s="14"/>
      <c r="EE213" s="14"/>
      <c r="EF213" s="634"/>
      <c r="EG213" s="634"/>
      <c r="EH213" s="14"/>
      <c r="EI213" s="634"/>
      <c r="EJ213" s="634"/>
      <c r="EK213" s="634"/>
      <c r="EL213" s="14"/>
      <c r="EM213" s="634"/>
      <c r="EN213" s="634"/>
      <c r="EO213" s="14"/>
      <c r="EP213" s="634"/>
      <c r="EQ213" s="634"/>
      <c r="ER213" s="33"/>
      <c r="ES213" s="634"/>
      <c r="ET213" s="634"/>
      <c r="EU213" s="14"/>
      <c r="EV213" s="634"/>
      <c r="EW213" s="634"/>
      <c r="EX213" s="14"/>
      <c r="EY213" s="634"/>
      <c r="EZ213" s="634"/>
      <c r="FA213" s="14"/>
      <c r="FB213" s="634"/>
      <c r="FC213" s="634"/>
      <c r="FD213" s="14"/>
      <c r="FE213" s="634"/>
      <c r="FF213" s="634"/>
      <c r="FG213" s="14"/>
      <c r="FH213" s="634"/>
      <c r="FI213" s="634"/>
      <c r="FJ213" s="14"/>
      <c r="FK213" s="634"/>
      <c r="FL213" s="634"/>
      <c r="FM213" s="634"/>
      <c r="FN213" s="634"/>
      <c r="FO213" s="634"/>
      <c r="FP213" s="14"/>
      <c r="FQ213" s="634"/>
      <c r="FR213" s="634"/>
      <c r="FS213" s="668"/>
      <c r="FT213" s="668"/>
      <c r="FU213" s="668"/>
      <c r="FV213" s="668"/>
      <c r="FZ213" s="659"/>
      <c r="GA213" s="659"/>
      <c r="GC213" s="190"/>
      <c r="GD213" s="726"/>
      <c r="GE213" s="14"/>
      <c r="GF213" s="14"/>
      <c r="GG213" s="14"/>
      <c r="GH213" s="14"/>
      <c r="GI213" s="14"/>
      <c r="GJ213" s="14"/>
      <c r="GK213" s="14"/>
      <c r="GL213" s="14"/>
      <c r="GM213" s="14"/>
      <c r="GN213" s="14"/>
      <c r="GO213" s="14"/>
      <c r="GP213" s="14"/>
      <c r="GQ213" s="14"/>
      <c r="GR213" s="14"/>
      <c r="GS213" s="14"/>
      <c r="GT213" s="14"/>
      <c r="GU213" s="14"/>
      <c r="GV213" s="14"/>
      <c r="GW213" s="14"/>
      <c r="GX213" s="14"/>
      <c r="GY213" s="14"/>
      <c r="GZ213" s="14"/>
      <c r="HA213" s="14"/>
      <c r="HB213" s="14"/>
      <c r="HC213" s="14"/>
      <c r="HD213" s="14"/>
      <c r="HE213" s="14"/>
      <c r="HF213" s="14"/>
      <c r="HG213" s="14"/>
      <c r="HH213" s="14"/>
      <c r="HI213" s="14"/>
      <c r="HJ213" s="14"/>
      <c r="HK213" s="14"/>
      <c r="HL213" s="14"/>
      <c r="HM213" s="14"/>
      <c r="HN213" s="14"/>
      <c r="HO213" s="14"/>
      <c r="HP213" s="14"/>
      <c r="HQ213" s="14"/>
      <c r="HR213" s="14"/>
      <c r="HS213" s="14"/>
      <c r="HT213" s="14"/>
      <c r="HU213" s="14"/>
      <c r="HV213" s="14"/>
      <c r="HW213" s="14"/>
      <c r="HX213" s="14"/>
      <c r="HY213" s="14"/>
      <c r="HZ213" s="14"/>
      <c r="IA213" s="14"/>
      <c r="IB213" s="14"/>
      <c r="IC213" s="14"/>
      <c r="ID213" s="14"/>
      <c r="IE213" s="14"/>
      <c r="IF213" s="14"/>
      <c r="IG213" s="14"/>
      <c r="IH213" s="14"/>
      <c r="II213" s="14"/>
      <c r="IJ213" s="14"/>
      <c r="IK213" s="14"/>
      <c r="IL213" s="14"/>
      <c r="IM213" s="14"/>
      <c r="IN213" s="14"/>
      <c r="IO213" s="14"/>
      <c r="IP213" s="14"/>
      <c r="IQ213" s="14"/>
      <c r="IR213" s="14"/>
      <c r="IS213" s="14"/>
      <c r="IT213" s="14"/>
      <c r="IU213" s="14"/>
      <c r="IV213" s="14"/>
      <c r="IW213" s="14"/>
      <c r="IX213" s="14"/>
      <c r="IY213" s="14"/>
      <c r="IZ213" s="14"/>
      <c r="JA213" s="14"/>
      <c r="JB213" s="14"/>
      <c r="JC213" s="14"/>
      <c r="JD213" s="14"/>
      <c r="JE213" s="14"/>
    </row>
    <row r="214" spans="1:265" s="45" customFormat="1">
      <c r="A214" s="372" t="s">
        <v>72</v>
      </c>
      <c r="B214" s="164">
        <f t="shared" si="303"/>
        <v>1</v>
      </c>
      <c r="C214" s="164">
        <f t="shared" si="304"/>
        <v>4</v>
      </c>
      <c r="D214" s="164">
        <f t="shared" si="305"/>
        <v>2</v>
      </c>
      <c r="E214" s="164">
        <f t="shared" si="306"/>
        <v>1</v>
      </c>
      <c r="F214" s="164">
        <f t="shared" si="307"/>
        <v>2</v>
      </c>
      <c r="G214" s="14"/>
      <c r="H214" s="14"/>
      <c r="I214" s="14"/>
      <c r="J214" s="14"/>
      <c r="K214" s="339"/>
      <c r="L214" s="209"/>
      <c r="M214" s="209"/>
      <c r="N214" s="209"/>
      <c r="O214" s="14"/>
      <c r="P214" s="14"/>
      <c r="Q214" s="14"/>
      <c r="R214" s="14"/>
      <c r="S214" s="14"/>
      <c r="T214" s="14"/>
      <c r="U214" s="14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  <c r="AH214" s="14"/>
      <c r="AI214" s="14"/>
      <c r="AJ214" s="14"/>
      <c r="AK214" s="14"/>
      <c r="AL214" s="14"/>
      <c r="AM214" s="14"/>
      <c r="AN214" s="14"/>
      <c r="AO214" s="14"/>
      <c r="AP214" s="14"/>
      <c r="AQ214" s="14"/>
      <c r="AR214" s="153"/>
      <c r="AS214" s="32"/>
      <c r="AT214" s="14"/>
      <c r="AU214" s="14"/>
      <c r="AV214" s="14"/>
      <c r="AW214" s="14"/>
      <c r="AX214" s="14"/>
      <c r="AY214" s="190"/>
      <c r="AZ214" s="190"/>
      <c r="BA214" s="190"/>
      <c r="BB214" s="190"/>
      <c r="BC214" s="190"/>
      <c r="BD214" s="190"/>
      <c r="BE214" s="190"/>
      <c r="BF214" s="190"/>
      <c r="BG214" s="190"/>
      <c r="BH214" s="190"/>
      <c r="BI214" s="190"/>
      <c r="BJ214" s="190"/>
      <c r="BK214" s="190"/>
      <c r="BL214" s="190"/>
      <c r="BM214" s="190"/>
      <c r="BN214" s="190"/>
      <c r="BO214" s="190"/>
      <c r="BP214" s="190"/>
      <c r="BQ214" s="190"/>
      <c r="BR214" s="190"/>
      <c r="BS214" s="190"/>
      <c r="BT214" s="191"/>
      <c r="BU214" s="190"/>
      <c r="BV214" s="236"/>
      <c r="BW214" s="236"/>
      <c r="BX214" s="190"/>
      <c r="BY214" s="190"/>
      <c r="BZ214" s="190"/>
      <c r="CA214" s="190"/>
      <c r="CB214" s="190"/>
      <c r="CC214" s="679"/>
      <c r="CD214" s="14"/>
      <c r="CE214" s="14"/>
      <c r="CF214" s="14"/>
      <c r="CG214" s="14"/>
      <c r="CH214" s="243"/>
      <c r="CI214" s="243"/>
      <c r="CJ214" s="14"/>
      <c r="CK214" s="14"/>
      <c r="CL214" s="14"/>
      <c r="CM214" s="14"/>
      <c r="CN214" s="14"/>
      <c r="CO214" s="14"/>
      <c r="CP214" s="14"/>
      <c r="CQ214" s="14"/>
      <c r="CR214" s="14"/>
      <c r="CS214" s="14"/>
      <c r="CT214" s="14"/>
      <c r="CU214" s="14"/>
      <c r="CV214" s="14"/>
      <c r="CW214" s="14"/>
      <c r="CX214" s="366"/>
      <c r="CY214" s="14"/>
      <c r="CZ214" s="14"/>
      <c r="DA214" s="14"/>
      <c r="DB214" s="14"/>
      <c r="DC214" s="14"/>
      <c r="DD214" s="14"/>
      <c r="DE214" s="14"/>
      <c r="DF214" s="14"/>
      <c r="DG214" s="14"/>
      <c r="DH214" s="14"/>
      <c r="DI214" s="14"/>
      <c r="DJ214" s="14"/>
      <c r="DK214" s="14"/>
      <c r="DL214" s="14"/>
      <c r="DM214" s="14"/>
      <c r="DN214" s="14"/>
      <c r="DO214" s="14"/>
      <c r="DP214" s="14"/>
      <c r="DQ214" s="14"/>
      <c r="DR214" s="14"/>
      <c r="DS214" s="14"/>
      <c r="DT214" s="634"/>
      <c r="DU214" s="634"/>
      <c r="DV214" s="33"/>
      <c r="DW214" s="14"/>
      <c r="DX214" s="634"/>
      <c r="DY214" s="14"/>
      <c r="DZ214" s="634"/>
      <c r="EA214" s="14"/>
      <c r="EB214" s="14"/>
      <c r="EC214" s="14"/>
      <c r="ED214" s="14"/>
      <c r="EE214" s="14"/>
      <c r="EF214" s="634"/>
      <c r="EG214" s="634"/>
      <c r="EH214" s="14"/>
      <c r="EI214" s="634"/>
      <c r="EJ214" s="634"/>
      <c r="EK214" s="634"/>
      <c r="EL214" s="14"/>
      <c r="EM214" s="634"/>
      <c r="EN214" s="634"/>
      <c r="EO214" s="14"/>
      <c r="EP214" s="634"/>
      <c r="EQ214" s="634"/>
      <c r="ER214" s="33"/>
      <c r="ES214" s="634"/>
      <c r="ET214" s="634"/>
      <c r="EU214" s="14"/>
      <c r="EV214" s="634"/>
      <c r="EW214" s="634"/>
      <c r="EX214" s="14"/>
      <c r="EY214" s="634"/>
      <c r="EZ214" s="634"/>
      <c r="FA214" s="14"/>
      <c r="FB214" s="634"/>
      <c r="FC214" s="634"/>
      <c r="FD214" s="14"/>
      <c r="FE214" s="634"/>
      <c r="FF214" s="634"/>
      <c r="FG214" s="14"/>
      <c r="FH214" s="634"/>
      <c r="FI214" s="634"/>
      <c r="FJ214" s="14"/>
      <c r="FK214" s="634"/>
      <c r="FL214" s="634"/>
      <c r="FM214" s="634"/>
      <c r="FN214" s="634"/>
      <c r="FO214" s="634"/>
      <c r="FP214" s="14"/>
      <c r="FQ214" s="634"/>
      <c r="FR214" s="634"/>
      <c r="FS214" s="668"/>
      <c r="FT214" s="668"/>
      <c r="FU214" s="668"/>
      <c r="FV214" s="668"/>
      <c r="FZ214" s="659"/>
      <c r="GA214" s="659"/>
      <c r="GC214" s="190"/>
      <c r="GD214" s="726"/>
      <c r="GE214" s="14"/>
      <c r="GF214" s="14"/>
      <c r="GG214" s="14"/>
      <c r="GH214" s="14"/>
      <c r="GI214" s="14"/>
      <c r="GJ214" s="14"/>
      <c r="GK214" s="14"/>
      <c r="GL214" s="14"/>
      <c r="GM214" s="14"/>
      <c r="GN214" s="14"/>
      <c r="GO214" s="14"/>
      <c r="GP214" s="14"/>
      <c r="GQ214" s="14"/>
      <c r="GR214" s="14"/>
      <c r="GS214" s="14"/>
      <c r="GT214" s="14"/>
      <c r="GU214" s="14"/>
      <c r="GV214" s="14"/>
      <c r="GW214" s="14"/>
      <c r="GX214" s="14"/>
      <c r="GY214" s="14"/>
      <c r="GZ214" s="14"/>
      <c r="HA214" s="14"/>
      <c r="HB214" s="14"/>
      <c r="HC214" s="14"/>
      <c r="HD214" s="14"/>
      <c r="HE214" s="14"/>
      <c r="HF214" s="14"/>
      <c r="HG214" s="14"/>
      <c r="HH214" s="14"/>
      <c r="HI214" s="14"/>
      <c r="HJ214" s="14"/>
      <c r="HK214" s="14"/>
      <c r="HL214" s="14"/>
      <c r="HM214" s="14"/>
      <c r="HN214" s="14"/>
      <c r="HO214" s="14"/>
      <c r="HP214" s="14"/>
      <c r="HQ214" s="14"/>
      <c r="HR214" s="14"/>
      <c r="HS214" s="14"/>
      <c r="HT214" s="14"/>
      <c r="HU214" s="14"/>
      <c r="HV214" s="14"/>
      <c r="HW214" s="14"/>
      <c r="HX214" s="14"/>
      <c r="HY214" s="14"/>
      <c r="HZ214" s="14"/>
      <c r="IA214" s="14"/>
      <c r="IB214" s="14"/>
      <c r="IC214" s="14"/>
      <c r="ID214" s="14"/>
      <c r="IE214" s="14"/>
      <c r="IF214" s="14"/>
      <c r="IG214" s="14"/>
      <c r="IH214" s="14"/>
      <c r="II214" s="14"/>
      <c r="IJ214" s="14"/>
      <c r="IK214" s="14"/>
      <c r="IL214" s="14"/>
      <c r="IM214" s="14"/>
      <c r="IN214" s="14"/>
      <c r="IO214" s="14"/>
      <c r="IP214" s="14"/>
      <c r="IQ214" s="14"/>
      <c r="IR214" s="14"/>
      <c r="IS214" s="14"/>
      <c r="IT214" s="14"/>
      <c r="IU214" s="14"/>
      <c r="IV214" s="14"/>
      <c r="IW214" s="14"/>
      <c r="IX214" s="14"/>
      <c r="IY214" s="14"/>
      <c r="IZ214" s="14"/>
      <c r="JA214" s="14"/>
      <c r="JB214" s="14"/>
      <c r="JC214" s="14"/>
      <c r="JD214" s="14"/>
      <c r="JE214" s="14"/>
    </row>
    <row r="215" spans="1:265" s="45" customFormat="1">
      <c r="A215" s="372" t="s">
        <v>154</v>
      </c>
      <c r="B215" s="164">
        <f t="shared" si="303"/>
        <v>0</v>
      </c>
      <c r="C215" s="164">
        <f t="shared" si="304"/>
        <v>3</v>
      </c>
      <c r="D215" s="164">
        <f t="shared" si="305"/>
        <v>3</v>
      </c>
      <c r="E215" s="164">
        <f t="shared" si="306"/>
        <v>1</v>
      </c>
      <c r="F215" s="164">
        <f t="shared" si="307"/>
        <v>0</v>
      </c>
      <c r="G215" s="14"/>
      <c r="H215" s="14"/>
      <c r="I215" s="14"/>
      <c r="J215" s="14"/>
      <c r="K215" s="339"/>
      <c r="L215" s="209"/>
      <c r="M215" s="209"/>
      <c r="N215" s="209"/>
      <c r="O215" s="14"/>
      <c r="P215" s="14"/>
      <c r="Q215" s="14"/>
      <c r="R215" s="14"/>
      <c r="S215" s="14"/>
      <c r="T215" s="14"/>
      <c r="U215" s="14"/>
      <c r="V215" s="14"/>
      <c r="W215" s="14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  <c r="AH215" s="14"/>
      <c r="AI215" s="14"/>
      <c r="AJ215" s="14"/>
      <c r="AK215" s="14"/>
      <c r="AL215" s="14"/>
      <c r="AM215" s="14"/>
      <c r="AN215" s="14"/>
      <c r="AO215" s="14"/>
      <c r="AP215" s="14"/>
      <c r="AQ215" s="14"/>
      <c r="AR215" s="153"/>
      <c r="AS215" s="32"/>
      <c r="AT215" s="14"/>
      <c r="AU215" s="14"/>
      <c r="AV215" s="14"/>
      <c r="AW215" s="14"/>
      <c r="AX215" s="14"/>
      <c r="AY215" s="190"/>
      <c r="AZ215" s="190"/>
      <c r="BA215" s="190"/>
      <c r="BB215" s="190"/>
      <c r="BC215" s="190"/>
      <c r="BD215" s="190"/>
      <c r="BE215" s="190"/>
      <c r="BF215" s="190"/>
      <c r="BG215" s="190"/>
      <c r="BH215" s="190"/>
      <c r="BI215" s="190"/>
      <c r="BJ215" s="190"/>
      <c r="BK215" s="190"/>
      <c r="BL215" s="190"/>
      <c r="BM215" s="190"/>
      <c r="BN215" s="190"/>
      <c r="BO215" s="190"/>
      <c r="BP215" s="190"/>
      <c r="BQ215" s="190"/>
      <c r="BR215" s="190"/>
      <c r="BS215" s="190"/>
      <c r="BT215" s="191"/>
      <c r="BU215" s="190"/>
      <c r="BV215" s="236"/>
      <c r="BW215" s="236"/>
      <c r="BX215" s="190"/>
      <c r="BY215" s="190"/>
      <c r="BZ215" s="190"/>
      <c r="CA215" s="190"/>
      <c r="CB215" s="190"/>
      <c r="CC215" s="679"/>
      <c r="CD215" s="14"/>
      <c r="CE215" s="14"/>
      <c r="CF215" s="14"/>
      <c r="CG215" s="14"/>
      <c r="CH215" s="243"/>
      <c r="CI215" s="243"/>
      <c r="CJ215" s="14"/>
      <c r="CK215" s="14"/>
      <c r="CL215" s="14"/>
      <c r="CM215" s="14"/>
      <c r="CN215" s="14"/>
      <c r="CO215" s="14"/>
      <c r="CP215" s="14"/>
      <c r="CQ215" s="14"/>
      <c r="CR215" s="14"/>
      <c r="CS215" s="14"/>
      <c r="CT215" s="14"/>
      <c r="CU215" s="14"/>
      <c r="CV215" s="14"/>
      <c r="CW215" s="14"/>
      <c r="CX215" s="366"/>
      <c r="CY215" s="14"/>
      <c r="CZ215" s="14"/>
      <c r="DA215" s="14"/>
      <c r="DB215" s="14"/>
      <c r="DC215" s="14"/>
      <c r="DD215" s="14"/>
      <c r="DE215" s="14"/>
      <c r="DF215" s="14"/>
      <c r="DG215" s="14"/>
      <c r="DH215" s="14"/>
      <c r="DI215" s="14"/>
      <c r="DJ215" s="14"/>
      <c r="DK215" s="14"/>
      <c r="DL215" s="14"/>
      <c r="DM215" s="14"/>
      <c r="DN215" s="14"/>
      <c r="DO215" s="14"/>
      <c r="DP215" s="14"/>
      <c r="DQ215" s="14"/>
      <c r="DR215" s="14"/>
      <c r="DS215" s="14"/>
      <c r="DT215" s="634"/>
      <c r="DU215" s="634"/>
      <c r="DV215" s="33"/>
      <c r="DW215" s="14"/>
      <c r="DX215" s="634"/>
      <c r="DY215" s="14"/>
      <c r="DZ215" s="634"/>
      <c r="EA215" s="14"/>
      <c r="EB215" s="14"/>
      <c r="EC215" s="14"/>
      <c r="ED215" s="14"/>
      <c r="EE215" s="14"/>
      <c r="EF215" s="634"/>
      <c r="EG215" s="634"/>
      <c r="EH215" s="14"/>
      <c r="EI215" s="634"/>
      <c r="EJ215" s="634"/>
      <c r="EK215" s="634"/>
      <c r="EL215" s="14"/>
      <c r="EM215" s="634"/>
      <c r="EN215" s="634"/>
      <c r="EO215" s="14"/>
      <c r="EP215" s="634"/>
      <c r="EQ215" s="634"/>
      <c r="ER215" s="33"/>
      <c r="ES215" s="634"/>
      <c r="ET215" s="634"/>
      <c r="EU215" s="14"/>
      <c r="EV215" s="634"/>
      <c r="EW215" s="634"/>
      <c r="EX215" s="14"/>
      <c r="EY215" s="634"/>
      <c r="EZ215" s="634"/>
      <c r="FA215" s="14"/>
      <c r="FB215" s="634"/>
      <c r="FC215" s="634"/>
      <c r="FD215" s="14"/>
      <c r="FE215" s="634"/>
      <c r="FF215" s="634"/>
      <c r="FG215" s="14"/>
      <c r="FH215" s="634"/>
      <c r="FI215" s="634"/>
      <c r="FJ215" s="14"/>
      <c r="FK215" s="634"/>
      <c r="FL215" s="634"/>
      <c r="FM215" s="634"/>
      <c r="FN215" s="634"/>
      <c r="FO215" s="634"/>
      <c r="FP215" s="14"/>
      <c r="FQ215" s="634"/>
      <c r="FR215" s="634"/>
      <c r="FS215" s="668"/>
      <c r="FT215" s="668"/>
      <c r="FU215" s="668"/>
      <c r="FV215" s="668"/>
      <c r="FZ215" s="659"/>
      <c r="GA215" s="659"/>
      <c r="GC215" s="190"/>
      <c r="GD215" s="726"/>
      <c r="GE215" s="14"/>
      <c r="GF215" s="14"/>
      <c r="GG215" s="14"/>
      <c r="GH215" s="14"/>
      <c r="GI215" s="14"/>
      <c r="GJ215" s="14"/>
      <c r="GK215" s="14"/>
      <c r="GL215" s="14"/>
      <c r="GM215" s="14"/>
      <c r="GN215" s="14"/>
      <c r="GO215" s="14"/>
      <c r="GP215" s="14"/>
      <c r="GQ215" s="14"/>
      <c r="GR215" s="14"/>
      <c r="GS215" s="14"/>
      <c r="GT215" s="14"/>
      <c r="GU215" s="14"/>
      <c r="GV215" s="14"/>
      <c r="GW215" s="14"/>
      <c r="GX215" s="14"/>
      <c r="GY215" s="14"/>
      <c r="GZ215" s="14"/>
      <c r="HA215" s="14"/>
      <c r="HB215" s="14"/>
      <c r="HC215" s="14"/>
      <c r="HD215" s="14"/>
      <c r="HE215" s="14"/>
      <c r="HF215" s="14"/>
      <c r="HG215" s="14"/>
      <c r="HH215" s="14"/>
      <c r="HI215" s="14"/>
      <c r="HJ215" s="14"/>
      <c r="HK215" s="14"/>
      <c r="HL215" s="14"/>
      <c r="HM215" s="14"/>
      <c r="HN215" s="14"/>
      <c r="HO215" s="14"/>
      <c r="HP215" s="14"/>
      <c r="HQ215" s="14"/>
      <c r="HR215" s="14"/>
      <c r="HS215" s="14"/>
      <c r="HT215" s="14"/>
      <c r="HU215" s="14"/>
      <c r="HV215" s="14"/>
      <c r="HW215" s="14"/>
      <c r="HX215" s="14"/>
      <c r="HY215" s="14"/>
      <c r="HZ215" s="14"/>
      <c r="IA215" s="14"/>
      <c r="IB215" s="14"/>
      <c r="IC215" s="14"/>
      <c r="ID215" s="14"/>
      <c r="IE215" s="14"/>
      <c r="IF215" s="14"/>
      <c r="IG215" s="14"/>
      <c r="IH215" s="14"/>
      <c r="II215" s="14"/>
      <c r="IJ215" s="14"/>
      <c r="IK215" s="14"/>
      <c r="IL215" s="14"/>
      <c r="IM215" s="14"/>
      <c r="IN215" s="14"/>
      <c r="IO215" s="14"/>
      <c r="IP215" s="14"/>
      <c r="IQ215" s="14"/>
      <c r="IR215" s="14"/>
      <c r="IS215" s="14"/>
      <c r="IT215" s="14"/>
      <c r="IU215" s="14"/>
      <c r="IV215" s="14"/>
      <c r="IW215" s="14"/>
      <c r="IX215" s="14"/>
      <c r="IY215" s="14"/>
      <c r="IZ215" s="14"/>
      <c r="JA215" s="14"/>
      <c r="JB215" s="14"/>
      <c r="JC215" s="14"/>
      <c r="JD215" s="14"/>
      <c r="JE215" s="14"/>
    </row>
    <row r="216" spans="1:265" s="45" customFormat="1">
      <c r="A216" s="368"/>
      <c r="B216" s="33">
        <f>SUBTOTAL(9,B210:B215)</f>
        <v>4</v>
      </c>
      <c r="C216" s="33">
        <f>SUM(C210:C215)</f>
        <v>11</v>
      </c>
      <c r="D216" s="33">
        <f>SUM(D210:D215)</f>
        <v>10</v>
      </c>
      <c r="E216" s="33">
        <f>SUM(E210:E215)</f>
        <v>6</v>
      </c>
      <c r="F216" s="33">
        <f>SUM(F210:F215)</f>
        <v>6</v>
      </c>
      <c r="G216" s="14"/>
      <c r="H216" s="14"/>
      <c r="I216" s="14"/>
      <c r="J216" s="14"/>
      <c r="K216" s="339"/>
      <c r="L216" s="209"/>
      <c r="M216" s="209"/>
      <c r="N216" s="209"/>
      <c r="O216" s="14"/>
      <c r="P216" s="14"/>
      <c r="Q216" s="14"/>
      <c r="R216" s="14"/>
      <c r="S216" s="14"/>
      <c r="T216" s="14"/>
      <c r="U216" s="14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  <c r="AH216" s="14"/>
      <c r="AI216" s="14"/>
      <c r="AJ216" s="14"/>
      <c r="AK216" s="14"/>
      <c r="AL216" s="14"/>
      <c r="AM216" s="14"/>
      <c r="AN216" s="14"/>
      <c r="AO216" s="14"/>
      <c r="AP216" s="14"/>
      <c r="AQ216" s="14"/>
      <c r="AR216" s="153"/>
      <c r="AS216" s="32"/>
      <c r="AT216" s="14"/>
      <c r="AU216" s="14"/>
      <c r="AV216" s="14"/>
      <c r="AW216" s="14"/>
      <c r="AX216" s="14"/>
      <c r="AY216" s="190"/>
      <c r="AZ216" s="190"/>
      <c r="BA216" s="190"/>
      <c r="BB216" s="190"/>
      <c r="BC216" s="190"/>
      <c r="BD216" s="190"/>
      <c r="BE216" s="190"/>
      <c r="BF216" s="190"/>
      <c r="BG216" s="190"/>
      <c r="BH216" s="190"/>
      <c r="BI216" s="190"/>
      <c r="BJ216" s="190"/>
      <c r="BK216" s="190"/>
      <c r="BL216" s="190"/>
      <c r="BM216" s="190"/>
      <c r="BN216" s="190"/>
      <c r="BO216" s="190"/>
      <c r="BP216" s="190"/>
      <c r="BQ216" s="190"/>
      <c r="BR216" s="190"/>
      <c r="BS216" s="190"/>
      <c r="BT216" s="191"/>
      <c r="BU216" s="190"/>
      <c r="BV216" s="236"/>
      <c r="BW216" s="236"/>
      <c r="BX216" s="190"/>
      <c r="BY216" s="190"/>
      <c r="BZ216" s="190"/>
      <c r="CA216" s="190"/>
      <c r="CB216" s="190"/>
      <c r="CC216" s="679"/>
      <c r="CD216" s="14"/>
      <c r="CE216" s="14"/>
      <c r="CF216" s="14"/>
      <c r="CG216" s="14"/>
      <c r="CH216" s="243"/>
      <c r="CI216" s="243"/>
      <c r="CJ216" s="14"/>
      <c r="CK216" s="14"/>
      <c r="CL216" s="14"/>
      <c r="CM216" s="14"/>
      <c r="CN216" s="14"/>
      <c r="CO216" s="14"/>
      <c r="CP216" s="14"/>
      <c r="CQ216" s="14"/>
      <c r="CR216" s="14"/>
      <c r="CS216" s="14"/>
      <c r="CT216" s="14"/>
      <c r="CU216" s="14"/>
      <c r="CV216" s="14"/>
      <c r="CW216" s="14"/>
      <c r="CX216" s="366"/>
      <c r="CY216" s="14"/>
      <c r="CZ216" s="14"/>
      <c r="DA216" s="14"/>
      <c r="DB216" s="14"/>
      <c r="DC216" s="14"/>
      <c r="DD216" s="14"/>
      <c r="DE216" s="14"/>
      <c r="DF216" s="14"/>
      <c r="DG216" s="14"/>
      <c r="DH216" s="14"/>
      <c r="DI216" s="14"/>
      <c r="DJ216" s="14"/>
      <c r="DK216" s="14"/>
      <c r="DL216" s="14"/>
      <c r="DM216" s="14"/>
      <c r="DN216" s="14"/>
      <c r="DO216" s="14"/>
      <c r="DP216" s="14"/>
      <c r="DQ216" s="14"/>
      <c r="DR216" s="14"/>
      <c r="DS216" s="14"/>
      <c r="DT216" s="634"/>
      <c r="DU216" s="634"/>
      <c r="DV216" s="33"/>
      <c r="DW216" s="14"/>
      <c r="DX216" s="634"/>
      <c r="DY216" s="14"/>
      <c r="DZ216" s="634"/>
      <c r="EA216" s="14"/>
      <c r="EB216" s="14"/>
      <c r="EC216" s="14"/>
      <c r="ED216" s="14"/>
      <c r="EE216" s="14"/>
      <c r="EF216" s="634"/>
      <c r="EG216" s="634"/>
      <c r="EH216" s="14"/>
      <c r="EI216" s="634"/>
      <c r="EJ216" s="634"/>
      <c r="EK216" s="634"/>
      <c r="EL216" s="14"/>
      <c r="EM216" s="634"/>
      <c r="EN216" s="634"/>
      <c r="EO216" s="14"/>
      <c r="EP216" s="634"/>
      <c r="EQ216" s="634"/>
      <c r="ER216" s="33"/>
      <c r="ES216" s="634"/>
      <c r="ET216" s="634"/>
      <c r="EU216" s="14"/>
      <c r="EV216" s="634"/>
      <c r="EW216" s="634"/>
      <c r="EX216" s="14"/>
      <c r="EY216" s="634"/>
      <c r="EZ216" s="634"/>
      <c r="FA216" s="14"/>
      <c r="FB216" s="634"/>
      <c r="FC216" s="634"/>
      <c r="FD216" s="14"/>
      <c r="FE216" s="634"/>
      <c r="FF216" s="634"/>
      <c r="FG216" s="14"/>
      <c r="FH216" s="634"/>
      <c r="FI216" s="634"/>
      <c r="FJ216" s="14"/>
      <c r="FK216" s="634"/>
      <c r="FL216" s="634"/>
      <c r="FM216" s="634"/>
      <c r="FN216" s="634"/>
      <c r="FO216" s="634"/>
      <c r="FP216" s="14"/>
      <c r="FQ216" s="634"/>
      <c r="FR216" s="634"/>
      <c r="FS216" s="668"/>
      <c r="FT216" s="668"/>
      <c r="FU216" s="668"/>
      <c r="FV216" s="668"/>
      <c r="FZ216" s="659"/>
      <c r="GA216" s="659"/>
      <c r="GC216" s="190"/>
      <c r="GD216" s="726"/>
      <c r="GE216" s="14"/>
      <c r="GF216" s="14"/>
      <c r="GG216" s="14"/>
      <c r="GH216" s="14"/>
      <c r="GI216" s="14"/>
      <c r="GJ216" s="14"/>
      <c r="GK216" s="14"/>
      <c r="GL216" s="14"/>
      <c r="GM216" s="14"/>
      <c r="GN216" s="14"/>
      <c r="GO216" s="14"/>
      <c r="GP216" s="14"/>
      <c r="GQ216" s="14"/>
      <c r="GR216" s="14"/>
      <c r="GS216" s="14"/>
      <c r="GT216" s="14"/>
      <c r="GU216" s="14"/>
      <c r="GV216" s="14"/>
      <c r="GW216" s="14"/>
      <c r="GX216" s="14"/>
      <c r="GY216" s="14"/>
      <c r="GZ216" s="14"/>
      <c r="HA216" s="14"/>
      <c r="HB216" s="14"/>
      <c r="HC216" s="14"/>
      <c r="HD216" s="14"/>
      <c r="HE216" s="14"/>
      <c r="HF216" s="14"/>
      <c r="HG216" s="14"/>
      <c r="HH216" s="14"/>
      <c r="HI216" s="14"/>
      <c r="HJ216" s="14"/>
      <c r="HK216" s="14"/>
      <c r="HL216" s="14"/>
      <c r="HM216" s="14"/>
      <c r="HN216" s="14"/>
      <c r="HO216" s="14"/>
      <c r="HP216" s="14"/>
      <c r="HQ216" s="14"/>
      <c r="HR216" s="14"/>
      <c r="HS216" s="14"/>
      <c r="HT216" s="14"/>
      <c r="HU216" s="14"/>
      <c r="HV216" s="14"/>
      <c r="HW216" s="14"/>
      <c r="HX216" s="14"/>
      <c r="HY216" s="14"/>
      <c r="HZ216" s="14"/>
      <c r="IA216" s="14"/>
      <c r="IB216" s="14"/>
      <c r="IC216" s="14"/>
      <c r="ID216" s="14"/>
      <c r="IE216" s="14"/>
      <c r="IF216" s="14"/>
      <c r="IG216" s="14"/>
      <c r="IH216" s="14"/>
      <c r="II216" s="14"/>
      <c r="IJ216" s="14"/>
      <c r="IK216" s="14"/>
      <c r="IL216" s="14"/>
      <c r="IM216" s="14"/>
      <c r="IN216" s="14"/>
      <c r="IO216" s="14"/>
      <c r="IP216" s="14"/>
      <c r="IQ216" s="14"/>
      <c r="IR216" s="14"/>
      <c r="IS216" s="14"/>
      <c r="IT216" s="14"/>
      <c r="IU216" s="14"/>
      <c r="IV216" s="14"/>
      <c r="IW216" s="14"/>
      <c r="IX216" s="14"/>
      <c r="IY216" s="14"/>
      <c r="IZ216" s="14"/>
      <c r="JA216" s="14"/>
      <c r="JB216" s="14"/>
      <c r="JC216" s="14"/>
      <c r="JD216" s="14"/>
      <c r="JE216" s="14"/>
    </row>
    <row r="217" spans="1:265" s="45" customFormat="1">
      <c r="A217" s="368"/>
      <c r="B217" s="14"/>
      <c r="C217" s="14"/>
      <c r="D217" s="14"/>
      <c r="E217" s="14"/>
      <c r="F217" s="14"/>
      <c r="G217" s="14"/>
      <c r="H217" s="14"/>
      <c r="I217" s="14"/>
      <c r="J217" s="14"/>
      <c r="K217" s="339"/>
      <c r="L217" s="209"/>
      <c r="M217" s="209"/>
      <c r="N217" s="209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  <c r="AH217" s="14"/>
      <c r="AI217" s="14"/>
      <c r="AJ217" s="14"/>
      <c r="AK217" s="14"/>
      <c r="AL217" s="14"/>
      <c r="AM217" s="14"/>
      <c r="AN217" s="14"/>
      <c r="AO217" s="14"/>
      <c r="AP217" s="14"/>
      <c r="AQ217" s="14"/>
      <c r="AR217" s="153"/>
      <c r="AS217" s="32"/>
      <c r="AT217" s="14"/>
      <c r="AU217" s="14"/>
      <c r="AV217" s="14"/>
      <c r="AW217" s="14"/>
      <c r="AX217" s="14"/>
      <c r="AY217" s="190"/>
      <c r="AZ217" s="190"/>
      <c r="BA217" s="190"/>
      <c r="BB217" s="190"/>
      <c r="BC217" s="190"/>
      <c r="BD217" s="190"/>
      <c r="BE217" s="190"/>
      <c r="BF217" s="190"/>
      <c r="BG217" s="190"/>
      <c r="BH217" s="190"/>
      <c r="BI217" s="190"/>
      <c r="BJ217" s="190"/>
      <c r="BK217" s="190"/>
      <c r="BL217" s="190"/>
      <c r="BM217" s="190"/>
      <c r="BN217" s="190"/>
      <c r="BO217" s="190"/>
      <c r="BP217" s="190"/>
      <c r="BQ217" s="190"/>
      <c r="BR217" s="190"/>
      <c r="BS217" s="190"/>
      <c r="BT217" s="191"/>
      <c r="BU217" s="190"/>
      <c r="BV217" s="236"/>
      <c r="BW217" s="236"/>
      <c r="BX217" s="190"/>
      <c r="BY217" s="190"/>
      <c r="BZ217" s="190"/>
      <c r="CA217" s="190"/>
      <c r="CB217" s="190"/>
      <c r="CC217" s="679"/>
      <c r="CD217" s="14"/>
      <c r="CE217" s="14"/>
      <c r="CF217" s="14"/>
      <c r="CG217" s="14"/>
      <c r="CH217" s="243"/>
      <c r="CI217" s="243"/>
      <c r="CJ217" s="14"/>
      <c r="CK217" s="14"/>
      <c r="CL217" s="14"/>
      <c r="CM217" s="14"/>
      <c r="CN217" s="14"/>
      <c r="CO217" s="14"/>
      <c r="CP217" s="14"/>
      <c r="CQ217" s="14"/>
      <c r="CR217" s="14"/>
      <c r="CS217" s="14"/>
      <c r="CT217" s="14"/>
      <c r="CU217" s="14"/>
      <c r="CV217" s="14"/>
      <c r="CW217" s="14"/>
      <c r="CX217" s="366"/>
      <c r="CY217" s="14"/>
      <c r="CZ217" s="14"/>
      <c r="DA217" s="14"/>
      <c r="DB217" s="14"/>
      <c r="DC217" s="14"/>
      <c r="DD217" s="14"/>
      <c r="DE217" s="14"/>
      <c r="DF217" s="14"/>
      <c r="DG217" s="14"/>
      <c r="DH217" s="14"/>
      <c r="DI217" s="14"/>
      <c r="DJ217" s="14"/>
      <c r="DK217" s="14"/>
      <c r="DL217" s="14"/>
      <c r="DM217" s="14"/>
      <c r="DN217" s="14"/>
      <c r="DO217" s="14"/>
      <c r="DP217" s="14"/>
      <c r="DQ217" s="14"/>
      <c r="DR217" s="14"/>
      <c r="DS217" s="14"/>
      <c r="DT217" s="634"/>
      <c r="DU217" s="634"/>
      <c r="DV217" s="33"/>
      <c r="DW217" s="14"/>
      <c r="DX217" s="634"/>
      <c r="DY217" s="14"/>
      <c r="DZ217" s="634"/>
      <c r="EA217" s="14"/>
      <c r="EB217" s="14"/>
      <c r="EC217" s="14"/>
      <c r="ED217" s="14"/>
      <c r="EE217" s="14"/>
      <c r="EF217" s="634"/>
      <c r="EG217" s="634"/>
      <c r="EH217" s="14"/>
      <c r="EI217" s="634"/>
      <c r="EJ217" s="634"/>
      <c r="EK217" s="634"/>
      <c r="EL217" s="14"/>
      <c r="EM217" s="634"/>
      <c r="EN217" s="634"/>
      <c r="EO217" s="14"/>
      <c r="EP217" s="634"/>
      <c r="EQ217" s="634"/>
      <c r="ER217" s="33"/>
      <c r="ES217" s="634"/>
      <c r="ET217" s="634"/>
      <c r="EU217" s="14"/>
      <c r="EV217" s="634"/>
      <c r="EW217" s="634"/>
      <c r="EX217" s="14"/>
      <c r="EY217" s="634"/>
      <c r="EZ217" s="634"/>
      <c r="FA217" s="14"/>
      <c r="FB217" s="634"/>
      <c r="FC217" s="634"/>
      <c r="FD217" s="14"/>
      <c r="FE217" s="634"/>
      <c r="FF217" s="634"/>
      <c r="FG217" s="14"/>
      <c r="FH217" s="634"/>
      <c r="FI217" s="634"/>
      <c r="FJ217" s="14"/>
      <c r="FK217" s="634"/>
      <c r="FL217" s="634"/>
      <c r="FM217" s="634"/>
      <c r="FN217" s="634"/>
      <c r="FO217" s="634"/>
      <c r="FP217" s="14"/>
      <c r="FQ217" s="634"/>
      <c r="FR217" s="634"/>
      <c r="FS217" s="668"/>
      <c r="FT217" s="668"/>
      <c r="FU217" s="668"/>
      <c r="FV217" s="668"/>
      <c r="FZ217" s="659"/>
      <c r="GA217" s="659"/>
      <c r="GC217" s="190"/>
      <c r="GD217" s="726"/>
      <c r="GE217" s="14"/>
      <c r="GF217" s="14"/>
      <c r="GG217" s="14"/>
      <c r="GH217" s="14"/>
      <c r="GI217" s="14"/>
      <c r="GJ217" s="14"/>
      <c r="GK217" s="14"/>
      <c r="GL217" s="14"/>
      <c r="GM217" s="14"/>
      <c r="GN217" s="14"/>
      <c r="GO217" s="14"/>
      <c r="GP217" s="14"/>
      <c r="GQ217" s="14"/>
      <c r="GR217" s="14"/>
      <c r="GS217" s="14"/>
      <c r="GT217" s="14"/>
      <c r="GU217" s="14"/>
      <c r="GV217" s="14"/>
      <c r="GW217" s="14"/>
      <c r="GX217" s="14"/>
      <c r="GY217" s="14"/>
      <c r="GZ217" s="14"/>
      <c r="HA217" s="14"/>
      <c r="HB217" s="14"/>
      <c r="HC217" s="14"/>
      <c r="HD217" s="14"/>
      <c r="HE217" s="14"/>
      <c r="HF217" s="14"/>
      <c r="HG217" s="14"/>
      <c r="HH217" s="14"/>
      <c r="HI217" s="14"/>
      <c r="HJ217" s="14"/>
      <c r="HK217" s="14"/>
      <c r="HL217" s="14"/>
      <c r="HM217" s="14"/>
      <c r="HN217" s="14"/>
      <c r="HO217" s="14"/>
      <c r="HP217" s="14"/>
      <c r="HQ217" s="14"/>
      <c r="HR217" s="14"/>
      <c r="HS217" s="14"/>
      <c r="HT217" s="14"/>
      <c r="HU217" s="14"/>
      <c r="HV217" s="14"/>
      <c r="HW217" s="14"/>
      <c r="HX217" s="14"/>
      <c r="HY217" s="14"/>
      <c r="HZ217" s="14"/>
      <c r="IA217" s="14"/>
      <c r="IB217" s="14"/>
      <c r="IC217" s="14"/>
      <c r="ID217" s="14"/>
      <c r="IE217" s="14"/>
      <c r="IF217" s="14"/>
      <c r="IG217" s="14"/>
      <c r="IH217" s="14"/>
      <c r="II217" s="14"/>
      <c r="IJ217" s="14"/>
      <c r="IK217" s="14"/>
      <c r="IL217" s="14"/>
      <c r="IM217" s="14"/>
      <c r="IN217" s="14"/>
      <c r="IO217" s="14"/>
      <c r="IP217" s="14"/>
      <c r="IQ217" s="14"/>
      <c r="IR217" s="14"/>
      <c r="IS217" s="14"/>
      <c r="IT217" s="14"/>
      <c r="IU217" s="14"/>
      <c r="IV217" s="14"/>
      <c r="IW217" s="14"/>
      <c r="IX217" s="14"/>
      <c r="IY217" s="14"/>
      <c r="IZ217" s="14"/>
      <c r="JA217" s="14"/>
      <c r="JB217" s="14"/>
      <c r="JC217" s="14"/>
      <c r="JD217" s="14"/>
      <c r="JE217" s="14"/>
    </row>
  </sheetData>
  <autoFilter ref="A1:JE104"/>
  <sortState ref="A39:A44">
    <sortCondition ref="A39"/>
  </sortState>
  <dataConsolidate/>
  <mergeCells count="6">
    <mergeCell ref="C151:D151"/>
    <mergeCell ref="M151:N151"/>
    <mergeCell ref="K151:L151"/>
    <mergeCell ref="I151:J151"/>
    <mergeCell ref="G151:H151"/>
    <mergeCell ref="E151:F151"/>
  </mergeCells>
  <conditionalFormatting sqref="EV62">
    <cfRule type="expression" dxfId="39" priority="73">
      <formula>$AH62&gt;TODAY()</formula>
    </cfRule>
  </conditionalFormatting>
  <conditionalFormatting sqref="EW62">
    <cfRule type="expression" dxfId="38" priority="72">
      <formula>$AI62&gt;=TODAY()</formula>
    </cfRule>
  </conditionalFormatting>
  <conditionalFormatting sqref="ES62">
    <cfRule type="expression" dxfId="37" priority="55">
      <formula>$AE62&gt;TODAY()</formula>
    </cfRule>
  </conditionalFormatting>
  <conditionalFormatting sqref="ET62">
    <cfRule type="expression" dxfId="36" priority="54">
      <formula>$AF62&gt;=TODAY()</formula>
    </cfRule>
  </conditionalFormatting>
  <conditionalFormatting sqref="ET2:ET32 ET34:ET51 ET53:ET103 EW50:EW57">
    <cfRule type="expression" dxfId="35" priority="74">
      <formula>$ET2&gt;=TODAY()</formula>
    </cfRule>
  </conditionalFormatting>
  <conditionalFormatting sqref="FR2:FR103">
    <cfRule type="expression" dxfId="34" priority="77">
      <formula>$FR2&gt;=TODAY()</formula>
    </cfRule>
  </conditionalFormatting>
  <conditionalFormatting sqref="FQ2:FQ103">
    <cfRule type="expression" dxfId="33" priority="78">
      <formula>$FQ2&gt;=TODAY()</formula>
    </cfRule>
  </conditionalFormatting>
  <conditionalFormatting sqref="FO9:FO10 FO2:FO5 FO12:FO103">
    <cfRule type="expression" dxfId="32" priority="79">
      <formula>$FO1048567&gt;=TODAY()</formula>
    </cfRule>
  </conditionalFormatting>
  <conditionalFormatting sqref="FO2:FO103">
    <cfRule type="expression" dxfId="31" priority="80">
      <formula>$FO2&gt;=TODAY()</formula>
    </cfRule>
  </conditionalFormatting>
  <conditionalFormatting sqref="FN2:FN103">
    <cfRule type="expression" dxfId="30" priority="81">
      <formula>$FN2&gt;=TODAY()</formula>
    </cfRule>
  </conditionalFormatting>
  <conditionalFormatting sqref="FM2:FM103">
    <cfRule type="expression" dxfId="29" priority="82">
      <formula>$FM2&gt;=TODAY()</formula>
    </cfRule>
  </conditionalFormatting>
  <conditionalFormatting sqref="FL2:FL103">
    <cfRule type="expression" dxfId="28" priority="83">
      <formula>$FL2&gt;=TODAY()</formula>
    </cfRule>
  </conditionalFormatting>
  <conditionalFormatting sqref="FK2:FK103">
    <cfRule type="expression" dxfId="27" priority="84">
      <formula>$FK2&gt;=TODAY()</formula>
    </cfRule>
  </conditionalFormatting>
  <conditionalFormatting sqref="FI2:FI103">
    <cfRule type="expression" dxfId="26" priority="85">
      <formula>$FI2&gt;=TODAY()</formula>
    </cfRule>
  </conditionalFormatting>
  <conditionalFormatting sqref="FH2:FH103">
    <cfRule type="expression" dxfId="25" priority="86">
      <formula>$FH2&gt;=TODAY()</formula>
    </cfRule>
  </conditionalFormatting>
  <conditionalFormatting sqref="FF2:FF103">
    <cfRule type="expression" dxfId="24" priority="89">
      <formula>$FF2&gt;=TODAY()</formula>
    </cfRule>
  </conditionalFormatting>
  <conditionalFormatting sqref="FE2:FE103">
    <cfRule type="expression" dxfId="23" priority="90">
      <formula>$FE2&gt;=TODAY()</formula>
    </cfRule>
  </conditionalFormatting>
  <conditionalFormatting sqref="FC2:FC103">
    <cfRule type="expression" dxfId="22" priority="91">
      <formula>$FC2&gt;=TODAY()</formula>
    </cfRule>
  </conditionalFormatting>
  <conditionalFormatting sqref="FB2:FB103">
    <cfRule type="expression" dxfId="21" priority="92">
      <formula>$FB2&gt;=TODAY()</formula>
    </cfRule>
  </conditionalFormatting>
  <conditionalFormatting sqref="EZ2:EZ103">
    <cfRule type="expression" dxfId="20" priority="93">
      <formula>$EZ2&gt;=TODAY()</formula>
    </cfRule>
  </conditionalFormatting>
  <conditionalFormatting sqref="EY2:EY103">
    <cfRule type="expression" dxfId="19" priority="94">
      <formula>$EY2&gt;=TODAY()</formula>
    </cfRule>
  </conditionalFormatting>
  <conditionalFormatting sqref="EW2:EW49 EW58:EW103">
    <cfRule type="expression" dxfId="18" priority="95">
      <formula>$EW2&gt;=TODAY()</formula>
    </cfRule>
  </conditionalFormatting>
  <conditionalFormatting sqref="EV2:EV49 EV58:EV103">
    <cfRule type="expression" dxfId="17" priority="97">
      <formula>$EV2&gt;=TODAY()</formula>
    </cfRule>
  </conditionalFormatting>
  <conditionalFormatting sqref="ES2:ES103 EV50:EV57">
    <cfRule type="expression" dxfId="16" priority="99">
      <formula>$ES2&gt;=TODAY()</formula>
    </cfRule>
  </conditionalFormatting>
  <conditionalFormatting sqref="EQ2:EQ50 EQ52:EQ103 ET52 ET33">
    <cfRule type="expression" dxfId="15" priority="100">
      <formula>$EQ2&gt;=TODAY()</formula>
    </cfRule>
  </conditionalFormatting>
  <conditionalFormatting sqref="EP2:EP103 EQ51">
    <cfRule type="expression" dxfId="14" priority="103">
      <formula>$EP2&gt;=TODAY()</formula>
    </cfRule>
  </conditionalFormatting>
  <conditionalFormatting sqref="EN2:EN50 EN52:EN56 EN58:EN103">
    <cfRule type="expression" dxfId="13" priority="104">
      <formula>$EN2&gt;=TODAY()</formula>
    </cfRule>
  </conditionalFormatting>
  <conditionalFormatting sqref="EM2:EM103 EN51 EN57">
    <cfRule type="expression" dxfId="12" priority="107">
      <formula>$EM2&gt;=TODAY()</formula>
    </cfRule>
  </conditionalFormatting>
  <conditionalFormatting sqref="EK2:EK50 EK52:EK103">
    <cfRule type="expression" dxfId="11" priority="108">
      <formula>$EK2&gt;=TODAY()</formula>
    </cfRule>
  </conditionalFormatting>
  <conditionalFormatting sqref="EJ2:EJ103 EK51">
    <cfRule type="expression" dxfId="10" priority="110">
      <formula>$EJ2&gt;=TODAY()</formula>
    </cfRule>
  </conditionalFormatting>
  <conditionalFormatting sqref="EG2:EG103">
    <cfRule type="expression" dxfId="9" priority="111">
      <formula>$EG2&gt;=TODAY()</formula>
    </cfRule>
  </conditionalFormatting>
  <conditionalFormatting sqref="EF2:EF103">
    <cfRule type="expression" dxfId="8" priority="112">
      <formula>$EF2&gt;=TODAY()</formula>
    </cfRule>
  </conditionalFormatting>
  <conditionalFormatting sqref="ED2:ED103 EC33 EC9">
    <cfRule type="expression" dxfId="7" priority="113">
      <formula>$ED2&gt;=TODAY()</formula>
    </cfRule>
  </conditionalFormatting>
  <conditionalFormatting sqref="EC2:EC8 EC34:EC103 EC10:EC32">
    <cfRule type="expression" dxfId="6" priority="114">
      <formula>$EC2&gt;=TODAY()</formula>
    </cfRule>
  </conditionalFormatting>
  <conditionalFormatting sqref="EA2:EA103">
    <cfRule type="expression" dxfId="5" priority="117">
      <formula>$EA2&gt;=TODAY()</formula>
    </cfRule>
  </conditionalFormatting>
  <conditionalFormatting sqref="DZ2:DZ103">
    <cfRule type="expression" dxfId="4" priority="118">
      <formula>$DZ2&gt;=TODAY()</formula>
    </cfRule>
  </conditionalFormatting>
  <conditionalFormatting sqref="DX2:DX103">
    <cfRule type="expression" dxfId="3" priority="119">
      <formula>$DX2&gt;=TODAY()</formula>
    </cfRule>
  </conditionalFormatting>
  <conditionalFormatting sqref="DW2:DW103">
    <cfRule type="expression" dxfId="2" priority="120">
      <formula>$DW2&gt;=TODAY()</formula>
    </cfRule>
  </conditionalFormatting>
  <conditionalFormatting sqref="DU2:DU103">
    <cfRule type="expression" dxfId="1" priority="121">
      <formula>$DU2&gt;=TODAY()</formula>
    </cfRule>
  </conditionalFormatting>
  <conditionalFormatting sqref="DT2:DT103">
    <cfRule type="expression" dxfId="0" priority="122">
      <formula>$DT2&gt;=TODAY()</formula>
    </cfRule>
  </conditionalFormatting>
  <dataValidations disablePrompts="1" count="14">
    <dataValidation type="list" allowBlank="1" showInputMessage="1" showErrorMessage="1" sqref="BB104:BC104 AV2:AV103">
      <formula1>"oui,non"</formula1>
    </dataValidation>
    <dataValidation type="list" allowBlank="1" showInputMessage="1" showErrorMessage="1" sqref="O104:U104 W104:AB104 B104:C104">
      <formula1>"Avirons,Entre-Deux,Etang-Salé,Petite-Ile,St Joseph,St Leu,St Louis,St Paul,St Philippe,St Pierre,Tampon,Trois Bassins"</formula1>
    </dataValidation>
    <dataValidation type="list" allowBlank="1" showInputMessage="1" showErrorMessage="1" sqref="AY50:AY51 AY39:AY46">
      <formula1>"OFOI,INGEPAR,INTERINVEST"</formula1>
    </dataValidation>
    <dataValidation type="list" allowBlank="1" showInputMessage="1" showErrorMessage="1" sqref="AY3:AY8 AY10:AY38">
      <formula1>"INGEPAR,OFOI,INTER INVEST"</formula1>
    </dataValidation>
    <dataValidation type="list" allowBlank="1" showInputMessage="1" showErrorMessage="1" sqref="AW104:AX104 FU104:FV104 CE104:DR104">
      <formula1>"FHO,FMA,JDC,JFO,LIM,SFE,YFR"</formula1>
    </dataValidation>
    <dataValidation type="list" allowBlank="1" showInputMessage="1" showErrorMessage="1" sqref="F2:F13 F60:F61 F35:F58 F86:F89">
      <formula1>"ADE,AGA,APU,BBL,FBR,FHO,FVA,JER,YFR"</formula1>
    </dataValidation>
    <dataValidation type="list" allowBlank="1" showInputMessage="1" showErrorMessage="1" sqref="F90:F94 F62:F81 F83:F85 F96:F103">
      <formula1>"ADE,AGA,APU,BBL,FBR,FHO,FVA,JER,OET,YFR"</formula1>
    </dataValidation>
    <dataValidation type="list" allowBlank="1" showInputMessage="1" showErrorMessage="1" sqref="F14:F34 F59">
      <formula1>"ADE,APU,BBL,FBR,FHO,FVA,JER,OET,YFR"</formula1>
    </dataValidation>
    <dataValidation type="list" allowBlank="1" showInputMessage="1" showErrorMessage="1" sqref="F95 F82">
      <formula1>"ADE,AGA,APU,BBL,FBR,FHO,FVA,JER,OET,YFR,RO"</formula1>
    </dataValidation>
    <dataValidation type="list" allowBlank="1" showInputMessage="1" showErrorMessage="1" sqref="B2:B103">
      <formula1>"Avirons,Cilaos,Entre-Deux,Etang-Salé,La Possession,Petite-Ile,St Joseph,St Leu,St Louis,St Paul,St Philippe,St Pierre,Tampon,Trois Bassins"</formula1>
    </dataValidation>
    <dataValidation type="list" allowBlank="1" showInputMessage="1" showErrorMessage="1" sqref="AY57:AY104">
      <formula1>"INGEPAR,OFOI"</formula1>
    </dataValidation>
    <dataValidation type="list" allowBlank="1" showInputMessage="1" showErrorMessage="1" sqref="AC2:AC103">
      <formula1>"LLS,LLTS,PLS,Rehab"</formula1>
    </dataValidation>
    <dataValidation type="list" allowBlank="1" showInputMessage="1" showErrorMessage="1" sqref="C2:C103">
      <formula1>"CA SUD,CIVIS,TCO"</formula1>
    </dataValidation>
    <dataValidation type="list" allowBlank="1" showInputMessage="1" showErrorMessage="1" sqref="AU2:AU103">
      <formula1>"MDV,collectif"</formula1>
    </dataValidation>
  </dataValidations>
  <pageMargins left="0.23622047244094491" right="0.23622047244094491" top="0.74803149606299213" bottom="0.74803149606299213" header="0.31496062992125984" footer="0.31496062992125984"/>
  <pageSetup paperSize="8" scale="10" orientation="landscape" r:id="rId1"/>
  <rowBreaks count="1" manualBreakCount="1">
    <brk id="108" max="264" man="1"/>
  </rowBreaks>
  <colBreaks count="1" manualBreakCount="1">
    <brk id="232" max="218" man="1"/>
  </colBreaks>
  <ignoredErrors>
    <ignoredError sqref="AJ108" formulaRange="1"/>
    <ignoredError sqref="P115:P118 P121:P125 P127:P128" evalError="1"/>
  </ignoredError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31</vt:i4>
      </vt:variant>
    </vt:vector>
  </HeadingPairs>
  <TitlesOfParts>
    <vt:vector size="33" baseType="lpstr">
      <vt:lpstr>Feuil3</vt:lpstr>
      <vt:lpstr>Données initiales</vt:lpstr>
      <vt:lpstr>Annee_Inaug</vt:lpstr>
      <vt:lpstr>Annee_OS</vt:lpstr>
      <vt:lpstr>Arrangeur</vt:lpstr>
      <vt:lpstr>Arrêté_LBU</vt:lpstr>
      <vt:lpstr>Ass</vt:lpstr>
      <vt:lpstr>AUTRES_SUB</vt:lpstr>
      <vt:lpstr>Avancement</vt:lpstr>
      <vt:lpstr>Bdgt</vt:lpstr>
      <vt:lpstr>CI</vt:lpstr>
      <vt:lpstr>Fonds_propres</vt:lpstr>
      <vt:lpstr>'Données initiales'!Impression_des_titres</vt:lpstr>
      <vt:lpstr>LBU</vt:lpstr>
      <vt:lpstr>Livraison</vt:lpstr>
      <vt:lpstr>LLS</vt:lpstr>
      <vt:lpstr>LLTS</vt:lpstr>
      <vt:lpstr>Loyers</vt:lpstr>
      <vt:lpstr>Nlgts</vt:lpstr>
      <vt:lpstr>Notaire</vt:lpstr>
      <vt:lpstr>OS</vt:lpstr>
      <vt:lpstr>PRET</vt:lpstr>
      <vt:lpstr>Prog</vt:lpstr>
      <vt:lpstr>PRP</vt:lpstr>
      <vt:lpstr>Px_Foncier</vt:lpstr>
      <vt:lpstr>Retard_loyer</vt:lpstr>
      <vt:lpstr>Retard_VEFA</vt:lpstr>
      <vt:lpstr>RO</vt:lpstr>
      <vt:lpstr>S_TERRAIN</vt:lpstr>
      <vt:lpstr>SF</vt:lpstr>
      <vt:lpstr>Type</vt:lpstr>
      <vt:lpstr>Ville</vt:lpstr>
      <vt:lpstr>'Données initiales'!Zone_d_impression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NBL</dc:creator>
  <cp:lastModifiedBy>Nathalie BLANDINO</cp:lastModifiedBy>
  <cp:lastPrinted>2018-03-04T05:30:23Z</cp:lastPrinted>
  <dcterms:created xsi:type="dcterms:W3CDTF">2012-11-19T18:43:46Z</dcterms:created>
  <dcterms:modified xsi:type="dcterms:W3CDTF">2018-03-04T06:39:27Z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