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15360" windowHeight="6420" tabRatio="658"/>
  </bookViews>
  <sheets>
    <sheet name="SYNTHESE" sheetId="26" r:id="rId1"/>
    <sheet name="Données initiales" sheetId="1" r:id="rId2"/>
  </sheets>
  <definedNames>
    <definedName name="_xlnm._FilterDatabase" localSheetId="1" hidden="1">'Données initiales'!$A$1:$JG$105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initiales'!$CY$2:$CY$104</definedName>
    <definedName name="Annee_OS">'Données initiales'!$CF$2:$CF$104</definedName>
    <definedName name="Arrangeur">'Données initiales'!$AY$24:$AY$104</definedName>
    <definedName name="Arrêté_LBU">'Données initiales'!$BB$24:$BB$104</definedName>
    <definedName name="Ass">'Données initiales'!$G$2:$G$104</definedName>
    <definedName name="AUTRES_SUB">'Données initiales'!$HG$2:$HG$104</definedName>
    <definedName name="Avancement">'Données initiales'!$H$2:$H$104</definedName>
    <definedName name="Bdgt">'Données initiales'!$GF$4:$GF$104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I">'Données initiales'!$GQ$2:$GQ$104</definedName>
    <definedName name="Fonds_propres">'Données initiales'!$HV$2:$HV$104</definedName>
    <definedName name="HonoS">'Données initiales'!#REF!</definedName>
    <definedName name="_xlnm.Print_Titles" localSheetId="1">'Données initiales'!$A:$A,'Données initiales'!$1:$1</definedName>
    <definedName name="LBU">'Données initiales'!$HB$2:$HB$104</definedName>
    <definedName name="Livraison">'Données initiales'!$CX$2:$CX$104</definedName>
    <definedName name="LLS">'Données initiales'!$AE$24:$AE$104</definedName>
    <definedName name="LLTS">'Données initiales'!$AF$24:$AF$104</definedName>
    <definedName name="Loyers">'Données initiales'!$CO$2:$CO$104</definedName>
    <definedName name="Nlgts">'Données initiales'!$AD$2:$AD$104</definedName>
    <definedName name="Notaire">'Données initiales'!$BU$2:$BU$104</definedName>
    <definedName name="OS">'Données initiales'!$CE$2:$CE$104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initiales'!$GV$2:$GV$104</definedName>
    <definedName name="Prog">'Données initiales'!$D$2:$D$104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initiales'!$GG$2:$GG$104</definedName>
    <definedName name="Px_Foncier">'Données initiales'!$P$2:$P$104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initiales'!$CM$2:$CM$104</definedName>
    <definedName name="Retard_VEFA">'Données initiales'!$CC$2:$CC$104</definedName>
    <definedName name="RO">'Données initiales'!$F$2:$F$104</definedName>
    <definedName name="S_TERRAIN">'Données initiales'!$O$2:$O$104</definedName>
    <definedName name="SF">'Données initiales'!$AJ$2:$AJ$104</definedName>
    <definedName name="Type">'Données initiales'!$AC$2:$AC$104</definedName>
    <definedName name="Ville">'Données initiales'!$B$2:$B$104</definedName>
    <definedName name="_xlnm.Print_Area" localSheetId="1">'Données initiales'!$A$1:$JG$220</definedName>
  </definedNames>
  <calcPr calcId="152511" iterateCount="1"/>
</workbook>
</file>

<file path=xl/calcChain.xml><?xml version="1.0" encoding="utf-8"?>
<calcChain xmlns="http://schemas.openxmlformats.org/spreadsheetml/2006/main">
  <c r="GV82" i="1" l="1"/>
  <c r="AD95" i="1" l="1"/>
  <c r="C141" i="26" l="1"/>
  <c r="D141" i="26"/>
  <c r="E141" i="26"/>
  <c r="F141" i="26"/>
  <c r="G141" i="26"/>
  <c r="H141" i="26"/>
  <c r="I141" i="26"/>
  <c r="J141" i="26"/>
  <c r="B141" i="26"/>
  <c r="C140" i="26"/>
  <c r="D140" i="26"/>
  <c r="E140" i="26"/>
  <c r="F140" i="26"/>
  <c r="G140" i="26"/>
  <c r="H140" i="26"/>
  <c r="I140" i="26"/>
  <c r="J140" i="26"/>
  <c r="C139" i="26"/>
  <c r="D139" i="26"/>
  <c r="E139" i="26"/>
  <c r="F139" i="26"/>
  <c r="G139" i="26"/>
  <c r="H139" i="26"/>
  <c r="I139" i="26"/>
  <c r="J139" i="26"/>
  <c r="D138" i="26"/>
  <c r="E138" i="26"/>
  <c r="F138" i="26"/>
  <c r="G138" i="26"/>
  <c r="H138" i="26"/>
  <c r="I138" i="26"/>
  <c r="J138" i="26"/>
  <c r="C138" i="26"/>
  <c r="B140" i="26"/>
  <c r="B139" i="26"/>
  <c r="B138" i="26"/>
  <c r="HC71" i="1"/>
  <c r="HC72" i="1"/>
  <c r="HC73" i="1"/>
  <c r="HC74" i="1"/>
  <c r="HC76" i="1"/>
  <c r="HC77" i="1"/>
  <c r="HC82" i="1"/>
  <c r="GG82" i="1" s="1"/>
  <c r="HG65" i="1" l="1"/>
  <c r="HG63" i="1"/>
  <c r="HV70" i="1"/>
  <c r="HV67" i="1"/>
  <c r="HV66" i="1"/>
  <c r="HV62" i="1"/>
  <c r="HG46" i="1" l="1"/>
  <c r="HG40" i="1"/>
  <c r="HV60" i="1"/>
  <c r="HV59" i="1"/>
  <c r="HV57" i="1"/>
  <c r="HV56" i="1"/>
  <c r="HV55" i="1"/>
  <c r="HV54" i="1"/>
  <c r="HV53" i="1"/>
  <c r="HV52" i="1"/>
  <c r="HV51" i="1"/>
  <c r="HV50" i="1"/>
  <c r="HV49" i="1"/>
  <c r="HV48" i="1"/>
  <c r="HV47" i="1"/>
  <c r="HV46" i="1"/>
  <c r="HV45" i="1"/>
  <c r="HV44" i="1"/>
  <c r="HV43" i="1"/>
  <c r="HV42" i="1"/>
  <c r="HV41" i="1"/>
  <c r="HV40" i="1"/>
  <c r="HE88" i="1" l="1"/>
  <c r="HE87" i="1"/>
  <c r="HE86" i="1"/>
  <c r="HE85" i="1"/>
  <c r="Y55" i="1"/>
  <c r="Y54" i="1"/>
  <c r="Y53" i="1"/>
  <c r="Y52" i="1"/>
  <c r="Y51" i="1"/>
  <c r="Y50" i="1"/>
  <c r="Y74" i="1"/>
  <c r="Y73" i="1"/>
  <c r="Y72" i="1"/>
  <c r="Y71" i="1"/>
  <c r="Y77" i="1"/>
  <c r="Y76" i="1"/>
  <c r="Y80" i="1"/>
  <c r="Y93" i="1"/>
  <c r="Y92" i="1"/>
  <c r="Y91" i="1"/>
  <c r="Y90" i="1"/>
  <c r="Y89" i="1"/>
  <c r="Y88" i="1"/>
  <c r="Y87" i="1"/>
  <c r="Y86" i="1"/>
  <c r="Y85" i="1"/>
  <c r="Y84" i="1"/>
  <c r="Y83" i="1"/>
  <c r="Y82" i="1"/>
  <c r="Y98" i="1"/>
  <c r="Y100" i="1"/>
  <c r="Y104" i="1"/>
  <c r="U80" i="1"/>
  <c r="U93" i="1"/>
  <c r="T93" i="1"/>
  <c r="U92" i="1"/>
  <c r="T92" i="1"/>
  <c r="T80" i="1"/>
  <c r="T77" i="1"/>
  <c r="S80" i="1"/>
  <c r="S104" i="1"/>
  <c r="S103" i="1"/>
  <c r="S102" i="1"/>
  <c r="S101" i="1"/>
  <c r="S100" i="1"/>
  <c r="S98" i="1"/>
  <c r="S97" i="1"/>
  <c r="S96" i="1"/>
  <c r="S94" i="1"/>
  <c r="S93" i="1"/>
  <c r="S92" i="1"/>
  <c r="S84" i="1"/>
  <c r="S83" i="1"/>
  <c r="S82" i="1"/>
  <c r="S81" i="1"/>
  <c r="S79" i="1"/>
  <c r="S78" i="1"/>
  <c r="S77" i="1"/>
  <c r="S76" i="1"/>
  <c r="GI88" i="1"/>
  <c r="GI87" i="1"/>
  <c r="GI86" i="1"/>
  <c r="GI85" i="1"/>
  <c r="GV94" i="1"/>
  <c r="CG94" i="1"/>
  <c r="CS40" i="1" l="1"/>
  <c r="ET33" i="1" l="1"/>
  <c r="EV33" i="1" s="1"/>
  <c r="ES33" i="1"/>
  <c r="EK33" i="1"/>
  <c r="EM33" i="1" s="1"/>
  <c r="EG33" i="1"/>
  <c r="EI33" i="1" s="1"/>
  <c r="ED33" i="1"/>
  <c r="EF33" i="1" s="1"/>
  <c r="EC33" i="1"/>
  <c r="DX33" i="1"/>
  <c r="DZ33" i="1" s="1"/>
  <c r="DU33" i="1"/>
  <c r="DW33" i="1" s="1"/>
  <c r="FS33" i="1" l="1"/>
  <c r="EO33" i="1"/>
  <c r="EW33" i="1" s="1"/>
  <c r="FP33" i="1"/>
  <c r="EZ33" i="1" l="1"/>
  <c r="EY33" i="1"/>
  <c r="CU103" i="1"/>
  <c r="CU102" i="1"/>
  <c r="CU101" i="1"/>
  <c r="CU104" i="1"/>
  <c r="CU100" i="1"/>
  <c r="CU99" i="1"/>
  <c r="CU98" i="1"/>
  <c r="CU97" i="1"/>
  <c r="CU93" i="1"/>
  <c r="CU92" i="1"/>
  <c r="CU91" i="1"/>
  <c r="CU90" i="1"/>
  <c r="CU89" i="1"/>
  <c r="CU88" i="1"/>
  <c r="CU87" i="1"/>
  <c r="CU86" i="1"/>
  <c r="CU85" i="1"/>
  <c r="CU84" i="1"/>
  <c r="CU83" i="1"/>
  <c r="CU96" i="1"/>
  <c r="CU94" i="1"/>
  <c r="CU82" i="1"/>
  <c r="CU80" i="1"/>
  <c r="CU79" i="1"/>
  <c r="CU78" i="1"/>
  <c r="CU77" i="1"/>
  <c r="CU76" i="1"/>
  <c r="CU74" i="1"/>
  <c r="CU73" i="1"/>
  <c r="CU72" i="1"/>
  <c r="CU71" i="1"/>
  <c r="CU81" i="1"/>
  <c r="CU75" i="1"/>
  <c r="CU65" i="1"/>
  <c r="CU68" i="1"/>
  <c r="CU64" i="1"/>
  <c r="CU66" i="1"/>
  <c r="CU67" i="1"/>
  <c r="CU55" i="1"/>
  <c r="CU54" i="1"/>
  <c r="CU63" i="1"/>
  <c r="CU62" i="1"/>
  <c r="CU70" i="1"/>
  <c r="CU61" i="1"/>
  <c r="CU59" i="1"/>
  <c r="CU56" i="1"/>
  <c r="CU69" i="1"/>
  <c r="CU60" i="1"/>
  <c r="CU58" i="1"/>
  <c r="CU53" i="1"/>
  <c r="CU57" i="1"/>
  <c r="CU52" i="1"/>
  <c r="CU51" i="1"/>
  <c r="CU50" i="1"/>
  <c r="CU49" i="1"/>
  <c r="CU47" i="1"/>
  <c r="CU46" i="1"/>
  <c r="CU41" i="1"/>
  <c r="CU48" i="1"/>
  <c r="CU45" i="1"/>
  <c r="CU44" i="1"/>
  <c r="CU43" i="1"/>
  <c r="CU42" i="1"/>
  <c r="CU40" i="1"/>
  <c r="CU38" i="1"/>
  <c r="CU39" i="1"/>
  <c r="CU37" i="1"/>
  <c r="CU35" i="1"/>
  <c r="CU34" i="1"/>
  <c r="CU33" i="1"/>
  <c r="CU32" i="1"/>
  <c r="CU31" i="1"/>
  <c r="CU36" i="1"/>
  <c r="CU28" i="1"/>
  <c r="CU30" i="1"/>
  <c r="CU29" i="1"/>
  <c r="CU27" i="1"/>
  <c r="CU26" i="1"/>
  <c r="CU25" i="1"/>
  <c r="CU24" i="1"/>
  <c r="CU23" i="1"/>
  <c r="CU22" i="1"/>
  <c r="CU21" i="1"/>
  <c r="CU20" i="1"/>
  <c r="CU19" i="1"/>
  <c r="CU18" i="1"/>
  <c r="CU17" i="1"/>
  <c r="CU16" i="1"/>
  <c r="CU15" i="1"/>
  <c r="CU14" i="1"/>
  <c r="CU13" i="1"/>
  <c r="CU12" i="1"/>
  <c r="CU11" i="1"/>
  <c r="CU10" i="1"/>
  <c r="CU9" i="1"/>
  <c r="CU8" i="1"/>
  <c r="CU7" i="1"/>
  <c r="CU6" i="1"/>
  <c r="CU5" i="1"/>
  <c r="CU4" i="1"/>
  <c r="CU3" i="1"/>
  <c r="CU2" i="1"/>
  <c r="FC33" i="1" l="1"/>
  <c r="FB33" i="1"/>
  <c r="FE33" i="1" l="1"/>
  <c r="FF33" i="1"/>
  <c r="HY42" i="1"/>
  <c r="FH33" i="1" l="1"/>
  <c r="FI33" i="1"/>
  <c r="FK33" i="1" s="1"/>
  <c r="DG43" i="1"/>
  <c r="DG44" i="1"/>
  <c r="DG45" i="1"/>
  <c r="DG48" i="1"/>
  <c r="DG47" i="1"/>
  <c r="DG58" i="1"/>
  <c r="DG104" i="1"/>
  <c r="DG31" i="1"/>
  <c r="DG32" i="1"/>
  <c r="DG33" i="1"/>
  <c r="DG34" i="1"/>
  <c r="DG35" i="1"/>
  <c r="DG37" i="1"/>
  <c r="DG39" i="1"/>
  <c r="DG38" i="1"/>
  <c r="DG40" i="1"/>
  <c r="DG25" i="1"/>
  <c r="DG26" i="1"/>
  <c r="DG27" i="1"/>
  <c r="DG28" i="1"/>
  <c r="DG30" i="1"/>
  <c r="HY61" i="1" l="1"/>
  <c r="HY38" i="1" l="1"/>
  <c r="DG36" i="1" l="1"/>
  <c r="DG22" i="1"/>
  <c r="DG17" i="1"/>
  <c r="IS45" i="1" l="1"/>
  <c r="IC79" i="1" l="1"/>
  <c r="CW58" i="1" l="1"/>
  <c r="HL105" i="1" l="1"/>
  <c r="HM105" i="1"/>
  <c r="HN105" i="1"/>
  <c r="HQ105" i="1"/>
  <c r="HT105" i="1"/>
  <c r="HU105" i="1"/>
  <c r="GG55" i="1"/>
  <c r="HE55" i="1" s="1"/>
  <c r="GG53" i="1"/>
  <c r="HE53" i="1" s="1"/>
  <c r="GG54" i="1"/>
  <c r="HE54" i="1" s="1"/>
  <c r="GG52" i="1"/>
  <c r="HE52" i="1" s="1"/>
  <c r="GX49" i="1"/>
  <c r="FS6" i="1" l="1"/>
  <c r="FS10" i="1"/>
  <c r="FS9" i="1"/>
  <c r="FS31" i="1"/>
  <c r="FS11" i="1"/>
  <c r="FS12" i="1"/>
  <c r="FS28" i="1"/>
  <c r="FS17" i="1"/>
  <c r="FS14" i="1"/>
  <c r="FS27" i="1"/>
  <c r="FS20" i="1"/>
  <c r="FS22" i="1"/>
  <c r="FS13" i="1"/>
  <c r="FS15" i="1"/>
  <c r="FS19" i="1"/>
  <c r="FS2" i="1"/>
  <c r="FS5" i="1"/>
  <c r="FS3" i="1"/>
  <c r="FS4" i="1"/>
  <c r="GG104" i="1" l="1"/>
  <c r="HE104" i="1" s="1"/>
  <c r="GG94" i="1"/>
  <c r="HE94" i="1" s="1"/>
  <c r="GG60" i="1"/>
  <c r="HE60" i="1" s="1"/>
  <c r="AD34" i="1"/>
  <c r="AD23" i="1"/>
  <c r="AD33" i="1"/>
  <c r="AD35" i="1"/>
  <c r="AD26" i="1"/>
  <c r="AD30" i="1"/>
  <c r="AD32" i="1"/>
  <c r="AD51" i="1"/>
  <c r="AD53" i="1"/>
  <c r="AD24" i="1"/>
  <c r="GS24" i="1" s="1"/>
  <c r="AD38" i="1"/>
  <c r="AD36" i="1"/>
  <c r="AD37" i="1"/>
  <c r="GS37" i="1" s="1"/>
  <c r="AD43" i="1"/>
  <c r="AD45" i="1"/>
  <c r="AD48" i="1"/>
  <c r="AD40" i="1"/>
  <c r="AD46" i="1"/>
  <c r="AD44" i="1"/>
  <c r="AD57" i="1"/>
  <c r="AD69" i="1"/>
  <c r="AD42" i="1"/>
  <c r="AD39" i="1"/>
  <c r="AD59" i="1"/>
  <c r="AD70" i="1"/>
  <c r="AD56" i="1"/>
  <c r="GS56" i="1" s="1"/>
  <c r="AD58" i="1"/>
  <c r="GS58" i="1" s="1"/>
  <c r="AD62" i="1"/>
  <c r="GS62" i="1" s="1"/>
  <c r="AD67" i="1"/>
  <c r="GS67" i="1" s="1"/>
  <c r="AD66" i="1"/>
  <c r="AD49" i="1"/>
  <c r="AD63" i="1"/>
  <c r="AD68" i="1"/>
  <c r="AD75" i="1"/>
  <c r="GS75" i="1" s="1"/>
  <c r="AD65" i="1"/>
  <c r="AD72" i="1"/>
  <c r="AD52" i="1"/>
  <c r="AD85" i="1"/>
  <c r="AD101" i="1"/>
  <c r="AD86" i="1"/>
  <c r="AD87" i="1"/>
  <c r="AD88" i="1"/>
  <c r="AD60" i="1"/>
  <c r="AD64" i="1"/>
  <c r="AD80" i="1"/>
  <c r="AD54" i="1"/>
  <c r="AD78" i="1"/>
  <c r="AD83" i="1"/>
  <c r="AD84" i="1"/>
  <c r="AD55" i="1"/>
  <c r="AD76" i="1"/>
  <c r="AD61" i="1"/>
  <c r="AD77" i="1"/>
  <c r="AD81" i="1"/>
  <c r="AD73" i="1"/>
  <c r="AD89" i="1"/>
  <c r="AD90" i="1"/>
  <c r="AD91" i="1"/>
  <c r="AD96" i="1"/>
  <c r="AD92" i="1"/>
  <c r="AD93" i="1"/>
  <c r="AD97" i="1"/>
  <c r="AD94" i="1"/>
  <c r="AD79" i="1"/>
  <c r="AD74" i="1"/>
  <c r="AD16" i="1"/>
  <c r="AD8" i="1"/>
  <c r="AD98" i="1"/>
  <c r="AD25" i="1"/>
  <c r="AD82" i="1"/>
  <c r="AD7" i="1"/>
  <c r="AD102" i="1"/>
  <c r="AD104" i="1"/>
  <c r="AD103" i="1"/>
  <c r="AD99" i="1"/>
  <c r="AD100" i="1"/>
  <c r="AD2" i="1"/>
  <c r="HJ2" i="1" s="1"/>
  <c r="AD5" i="1"/>
  <c r="AD3" i="1"/>
  <c r="AD4" i="1"/>
  <c r="AD50" i="1"/>
  <c r="AD6" i="1"/>
  <c r="AD10" i="1"/>
  <c r="AD9" i="1"/>
  <c r="AD31" i="1"/>
  <c r="AD11" i="1"/>
  <c r="AD12" i="1"/>
  <c r="AD28" i="1"/>
  <c r="AD17" i="1"/>
  <c r="AD14" i="1"/>
  <c r="AD27" i="1"/>
  <c r="AD20" i="1"/>
  <c r="AD22" i="1"/>
  <c r="AD13" i="1"/>
  <c r="AD15" i="1"/>
  <c r="AD19" i="1"/>
  <c r="AD71" i="1"/>
  <c r="AD21" i="1"/>
  <c r="AD18" i="1"/>
  <c r="AD29" i="1"/>
  <c r="AN82" i="1" l="1"/>
  <c r="AO82" i="1"/>
  <c r="AP76" i="1"/>
  <c r="AO76" i="1"/>
  <c r="AO77" i="1"/>
  <c r="AN77" i="1"/>
  <c r="AM77" i="1"/>
  <c r="AL77" i="1"/>
  <c r="GS71" i="1"/>
  <c r="HJ71" i="1"/>
  <c r="HI71" i="1"/>
  <c r="GS17" i="1"/>
  <c r="HJ17" i="1"/>
  <c r="HI17" i="1"/>
  <c r="GS25" i="1"/>
  <c r="HI25" i="1"/>
  <c r="HJ25" i="1"/>
  <c r="HI93" i="1"/>
  <c r="HJ93" i="1"/>
  <c r="HI84" i="1"/>
  <c r="HJ84" i="1"/>
  <c r="GJ87" i="1"/>
  <c r="HJ87" i="1"/>
  <c r="HI87" i="1"/>
  <c r="GS69" i="1"/>
  <c r="HI69" i="1"/>
  <c r="HJ69" i="1"/>
  <c r="GS40" i="1"/>
  <c r="HI40" i="1"/>
  <c r="HJ40" i="1"/>
  <c r="HI53" i="1"/>
  <c r="HJ53" i="1"/>
  <c r="GS34" i="1"/>
  <c r="HJ34" i="1"/>
  <c r="HI34" i="1"/>
  <c r="GS29" i="1"/>
  <c r="HI29" i="1"/>
  <c r="HJ29" i="1"/>
  <c r="GS20" i="1"/>
  <c r="HI20" i="1"/>
  <c r="HJ20" i="1"/>
  <c r="GS9" i="1"/>
  <c r="HJ9" i="1"/>
  <c r="HI9" i="1"/>
  <c r="GS100" i="1"/>
  <c r="HJ100" i="1"/>
  <c r="HI100" i="1"/>
  <c r="GS98" i="1"/>
  <c r="HI98" i="1"/>
  <c r="HJ98" i="1"/>
  <c r="HI92" i="1"/>
  <c r="HJ92" i="1"/>
  <c r="GS61" i="1"/>
  <c r="GZ61" i="1"/>
  <c r="HI61" i="1"/>
  <c r="HJ61" i="1"/>
  <c r="GS64" i="1"/>
  <c r="HI64" i="1"/>
  <c r="HJ64" i="1"/>
  <c r="GS72" i="1"/>
  <c r="HI72" i="1"/>
  <c r="HJ72" i="1"/>
  <c r="GS63" i="1"/>
  <c r="HJ63" i="1"/>
  <c r="HI63" i="1"/>
  <c r="GS59" i="1"/>
  <c r="HJ59" i="1"/>
  <c r="HI59" i="1"/>
  <c r="GS57" i="1"/>
  <c r="HI57" i="1"/>
  <c r="HJ57" i="1"/>
  <c r="GS36" i="1"/>
  <c r="HJ36" i="1"/>
  <c r="HI36" i="1"/>
  <c r="HJ51" i="1"/>
  <c r="HI51" i="1"/>
  <c r="GS35" i="1"/>
  <c r="HI35" i="1"/>
  <c r="HJ35" i="1"/>
  <c r="GS18" i="1"/>
  <c r="HJ18" i="1"/>
  <c r="HI18" i="1"/>
  <c r="GS15" i="1"/>
  <c r="HI15" i="1"/>
  <c r="HJ15" i="1"/>
  <c r="GS27" i="1"/>
  <c r="HJ27" i="1"/>
  <c r="HI27" i="1"/>
  <c r="GS12" i="1"/>
  <c r="HI12" i="1"/>
  <c r="HJ12" i="1"/>
  <c r="GS10" i="1"/>
  <c r="HJ10" i="1"/>
  <c r="HI10" i="1"/>
  <c r="GS3" i="1"/>
  <c r="HI3" i="1"/>
  <c r="HJ3" i="1"/>
  <c r="GS99" i="1"/>
  <c r="HJ99" i="1"/>
  <c r="HI99" i="1"/>
  <c r="GS7" i="1"/>
  <c r="HI7" i="1"/>
  <c r="HJ7" i="1"/>
  <c r="GS8" i="1"/>
  <c r="HI8" i="1"/>
  <c r="HJ8" i="1"/>
  <c r="GS94" i="1"/>
  <c r="HJ94" i="1"/>
  <c r="HI94" i="1"/>
  <c r="GZ94" i="1"/>
  <c r="GS96" i="1"/>
  <c r="HJ96" i="1"/>
  <c r="HI96" i="1"/>
  <c r="GS73" i="1"/>
  <c r="HI73" i="1"/>
  <c r="HJ73" i="1"/>
  <c r="GS76" i="1"/>
  <c r="HI76" i="1"/>
  <c r="HJ76" i="1"/>
  <c r="GS78" i="1"/>
  <c r="HJ78" i="1"/>
  <c r="HI78" i="1"/>
  <c r="GS60" i="1"/>
  <c r="HI60" i="1"/>
  <c r="HJ60" i="1"/>
  <c r="GZ60" i="1"/>
  <c r="GS101" i="1"/>
  <c r="HI101" i="1"/>
  <c r="HJ101" i="1"/>
  <c r="GS65" i="1"/>
  <c r="HI65" i="1"/>
  <c r="HJ65" i="1"/>
  <c r="GS49" i="1"/>
  <c r="HI49" i="1"/>
  <c r="HJ49" i="1"/>
  <c r="GS39" i="1"/>
  <c r="HJ39" i="1"/>
  <c r="HI39" i="1"/>
  <c r="GS44" i="1"/>
  <c r="HJ44" i="1"/>
  <c r="HI44" i="1"/>
  <c r="GS45" i="1"/>
  <c r="HI45" i="1"/>
  <c r="HJ45" i="1"/>
  <c r="GS38" i="1"/>
  <c r="HJ38" i="1"/>
  <c r="HI38" i="1"/>
  <c r="GS32" i="1"/>
  <c r="HI32" i="1"/>
  <c r="HJ32" i="1"/>
  <c r="GS33" i="1"/>
  <c r="HJ33" i="1"/>
  <c r="HI33" i="1"/>
  <c r="GS22" i="1"/>
  <c r="HJ22" i="1"/>
  <c r="HI22" i="1"/>
  <c r="GS31" i="1"/>
  <c r="HI31" i="1"/>
  <c r="HJ31" i="1"/>
  <c r="HJ50" i="1"/>
  <c r="HI50" i="1"/>
  <c r="HJ104" i="1"/>
  <c r="HI104" i="1"/>
  <c r="GZ104" i="1"/>
  <c r="GS74" i="1"/>
  <c r="HJ74" i="1"/>
  <c r="HI74" i="1"/>
  <c r="HJ90" i="1"/>
  <c r="HI90" i="1"/>
  <c r="GS77" i="1"/>
  <c r="HI77" i="1"/>
  <c r="HJ77" i="1"/>
  <c r="HI80" i="1"/>
  <c r="HJ80" i="1"/>
  <c r="HI52" i="1"/>
  <c r="HJ52" i="1"/>
  <c r="GS68" i="1"/>
  <c r="HI68" i="1"/>
  <c r="HJ68" i="1"/>
  <c r="GS70" i="1"/>
  <c r="HJ70" i="1"/>
  <c r="HI70" i="1"/>
  <c r="GS26" i="1"/>
  <c r="HJ26" i="1"/>
  <c r="HI26" i="1"/>
  <c r="GS19" i="1"/>
  <c r="HI19" i="1"/>
  <c r="HJ19" i="1"/>
  <c r="GS28" i="1"/>
  <c r="HJ28" i="1"/>
  <c r="HI28" i="1"/>
  <c r="GS4" i="1"/>
  <c r="HI4" i="1"/>
  <c r="HJ4" i="1"/>
  <c r="GS102" i="1"/>
  <c r="HI102" i="1"/>
  <c r="HJ102" i="1"/>
  <c r="GS79" i="1"/>
  <c r="HJ79" i="1"/>
  <c r="HI79" i="1"/>
  <c r="HI89" i="1"/>
  <c r="HJ89" i="1"/>
  <c r="R83" i="1"/>
  <c r="HJ83" i="1"/>
  <c r="HI83" i="1"/>
  <c r="GJ86" i="1"/>
  <c r="HJ86" i="1"/>
  <c r="HI86" i="1"/>
  <c r="GS48" i="1"/>
  <c r="HI48" i="1"/>
  <c r="HJ48" i="1"/>
  <c r="GS21" i="1"/>
  <c r="HJ21" i="1"/>
  <c r="HI21" i="1"/>
  <c r="GS13" i="1"/>
  <c r="HJ13" i="1"/>
  <c r="HI13" i="1"/>
  <c r="GS14" i="1"/>
  <c r="HJ14" i="1"/>
  <c r="HI14" i="1"/>
  <c r="GS11" i="1"/>
  <c r="HI11" i="1"/>
  <c r="HJ11" i="1"/>
  <c r="GS6" i="1"/>
  <c r="HJ6" i="1"/>
  <c r="HI6" i="1"/>
  <c r="GS5" i="1"/>
  <c r="HJ5" i="1"/>
  <c r="HI5" i="1"/>
  <c r="GS103" i="1"/>
  <c r="HJ103" i="1"/>
  <c r="HI103" i="1"/>
  <c r="HJ82" i="1"/>
  <c r="HI82" i="1"/>
  <c r="GS16" i="1"/>
  <c r="HI16" i="1"/>
  <c r="HJ16" i="1"/>
  <c r="GS97" i="1"/>
  <c r="HI97" i="1"/>
  <c r="HJ97" i="1"/>
  <c r="HJ91" i="1"/>
  <c r="HI91" i="1"/>
  <c r="GS81" i="1"/>
  <c r="HI81" i="1"/>
  <c r="HJ81" i="1"/>
  <c r="HJ55" i="1"/>
  <c r="HI55" i="1"/>
  <c r="HJ54" i="1"/>
  <c r="HI54" i="1"/>
  <c r="GJ88" i="1"/>
  <c r="HI88" i="1"/>
  <c r="HJ88" i="1"/>
  <c r="GJ85" i="1"/>
  <c r="HI85" i="1"/>
  <c r="GZ85" i="1"/>
  <c r="HJ85" i="1"/>
  <c r="GS66" i="1"/>
  <c r="HJ66" i="1"/>
  <c r="HI66" i="1"/>
  <c r="GS42" i="1"/>
  <c r="HI42" i="1"/>
  <c r="HJ42" i="1"/>
  <c r="GS46" i="1"/>
  <c r="HJ46" i="1"/>
  <c r="HI46" i="1"/>
  <c r="GS43" i="1"/>
  <c r="HJ43" i="1"/>
  <c r="HI43" i="1"/>
  <c r="GS30" i="1"/>
  <c r="HI30" i="1"/>
  <c r="HJ30" i="1"/>
  <c r="GS23" i="1"/>
  <c r="HI23" i="1"/>
  <c r="HJ23" i="1"/>
  <c r="R104" i="1"/>
  <c r="GS104" i="1"/>
  <c r="R84" i="1"/>
  <c r="GS84" i="1"/>
  <c r="R80" i="1"/>
  <c r="GS80" i="1"/>
  <c r="R82" i="1"/>
  <c r="GS82" i="1"/>
  <c r="W93" i="1"/>
  <c r="V93" i="1"/>
  <c r="R93" i="1"/>
  <c r="W100" i="1"/>
  <c r="V100" i="1"/>
  <c r="R100" i="1"/>
  <c r="W98" i="1"/>
  <c r="V98" i="1"/>
  <c r="V92" i="1"/>
  <c r="W92" i="1"/>
  <c r="R92" i="1"/>
  <c r="R101" i="1"/>
  <c r="V101" i="1"/>
  <c r="W101" i="1"/>
  <c r="GJ60" i="1"/>
  <c r="GI60" i="1"/>
  <c r="GJ94" i="1"/>
  <c r="GI94" i="1"/>
  <c r="AN80" i="1"/>
  <c r="AK80" i="1"/>
  <c r="AM80" i="1"/>
  <c r="AP80" i="1"/>
  <c r="AL80" i="1"/>
  <c r="AO80" i="1"/>
  <c r="AK94" i="1"/>
  <c r="AN94" i="1"/>
  <c r="AP94" i="1"/>
  <c r="AO94" i="1"/>
  <c r="AM94" i="1"/>
  <c r="AP78" i="1"/>
  <c r="AO78" i="1"/>
  <c r="AN78" i="1"/>
  <c r="AM78" i="1"/>
  <c r="AP79" i="1"/>
  <c r="AO79" i="1"/>
  <c r="AK79" i="1"/>
  <c r="AN79" i="1"/>
  <c r="AM79" i="1"/>
  <c r="AL79" i="1"/>
  <c r="AN33" i="1"/>
  <c r="AM33" i="1"/>
  <c r="U100" i="1"/>
  <c r="U101" i="1"/>
  <c r="U104" i="1"/>
  <c r="U98" i="1"/>
  <c r="U84" i="1"/>
  <c r="U83" i="1"/>
  <c r="U82" i="1"/>
  <c r="U96" i="1"/>
  <c r="U94" i="1"/>
  <c r="U77" i="1"/>
  <c r="U76" i="1"/>
  <c r="U79" i="1"/>
  <c r="U78" i="1"/>
  <c r="T81" i="1"/>
  <c r="T96" i="1"/>
  <c r="T94" i="1"/>
  <c r="T76" i="1"/>
  <c r="T79" i="1"/>
  <c r="T78" i="1"/>
  <c r="T84" i="1"/>
  <c r="T83" i="1"/>
  <c r="T82" i="1"/>
  <c r="T104" i="1"/>
  <c r="T98" i="1"/>
  <c r="T100" i="1"/>
  <c r="D54" i="26" l="1"/>
  <c r="E54" i="26"/>
  <c r="CR49" i="1"/>
  <c r="DG49" i="1" s="1"/>
  <c r="C50" i="26"/>
  <c r="HY49" i="1" l="1"/>
  <c r="CC60" i="1"/>
  <c r="CC15" i="1"/>
  <c r="CC21" i="1"/>
  <c r="CC18" i="1"/>
  <c r="CC29" i="1"/>
  <c r="CC19" i="1"/>
  <c r="CC34" i="1"/>
  <c r="CC23" i="1"/>
  <c r="CC33" i="1"/>
  <c r="CC24" i="1"/>
  <c r="CC35" i="1"/>
  <c r="CC26" i="1"/>
  <c r="CC30" i="1"/>
  <c r="CC32" i="1"/>
  <c r="CC38" i="1"/>
  <c r="CC37" i="1"/>
  <c r="CC42" i="1"/>
  <c r="CC45" i="1"/>
  <c r="CC48" i="1"/>
  <c r="CC40" i="1"/>
  <c r="CC46" i="1"/>
  <c r="CC44" i="1"/>
  <c r="CC47" i="1"/>
  <c r="CC3" i="1"/>
  <c r="CC4" i="1"/>
  <c r="CC8" i="1"/>
  <c r="CC11" i="1"/>
  <c r="CC12" i="1"/>
  <c r="CC28" i="1"/>
  <c r="CC6" i="1"/>
  <c r="CC17" i="1"/>
  <c r="CC14" i="1"/>
  <c r="CC27" i="1"/>
  <c r="CC20" i="1"/>
  <c r="CC22" i="1"/>
  <c r="CC13" i="1"/>
  <c r="CQ6" i="1"/>
  <c r="CL6" i="1" s="1"/>
  <c r="CQ104" i="1"/>
  <c r="CL104" i="1" s="1"/>
  <c r="CQ100" i="1"/>
  <c r="CQ7" i="1"/>
  <c r="CL7" i="1" s="1"/>
  <c r="CQ25" i="1"/>
  <c r="CL25" i="1" s="1"/>
  <c r="CQ91" i="1"/>
  <c r="CQ90" i="1"/>
  <c r="CQ89" i="1"/>
  <c r="CQ9" i="1"/>
  <c r="CL9" i="1" s="1"/>
  <c r="CQ16" i="1"/>
  <c r="CL16" i="1" s="1"/>
  <c r="CQ88" i="1"/>
  <c r="CQ87" i="1"/>
  <c r="CQ64" i="1"/>
  <c r="CQ86" i="1"/>
  <c r="CQ85" i="1"/>
  <c r="CQ82" i="1"/>
  <c r="CQ74" i="1"/>
  <c r="CQ73" i="1"/>
  <c r="CQ72" i="1"/>
  <c r="CQ71" i="1"/>
  <c r="CQ61" i="1"/>
  <c r="CQ60" i="1"/>
  <c r="CQ55" i="1"/>
  <c r="CQ54" i="1"/>
  <c r="CQ52" i="1"/>
  <c r="CQ53" i="1"/>
  <c r="CQ51" i="1"/>
  <c r="CQ50" i="1"/>
  <c r="CQ31" i="1"/>
  <c r="CL31" i="1" s="1"/>
  <c r="CQ103" i="1"/>
  <c r="CQ101" i="1"/>
  <c r="CQ102" i="1"/>
  <c r="CQ99" i="1"/>
  <c r="CQ98" i="1"/>
  <c r="CQ97" i="1"/>
  <c r="CQ96" i="1"/>
  <c r="CQ94" i="1"/>
  <c r="CQ93" i="1"/>
  <c r="CQ92" i="1"/>
  <c r="CQ77" i="1"/>
  <c r="CQ66" i="1"/>
  <c r="CQ84" i="1"/>
  <c r="CQ83" i="1"/>
  <c r="CQ76" i="1"/>
  <c r="CQ79" i="1"/>
  <c r="CQ81" i="1"/>
  <c r="CQ78" i="1"/>
  <c r="CQ80" i="1"/>
  <c r="CQ67" i="1"/>
  <c r="CQ65" i="1"/>
  <c r="CQ75" i="1"/>
  <c r="CQ5" i="1"/>
  <c r="CL5" i="1" s="1"/>
  <c r="CQ68" i="1"/>
  <c r="CQ63" i="1"/>
  <c r="CQ2" i="1"/>
  <c r="CL2" i="1" s="1"/>
  <c r="CQ62" i="1"/>
  <c r="CQ58" i="1"/>
  <c r="CQ56" i="1"/>
  <c r="CQ70" i="1"/>
  <c r="CQ69" i="1"/>
  <c r="CQ57" i="1"/>
  <c r="CQ59" i="1"/>
  <c r="CQ10" i="1"/>
  <c r="CL10" i="1" s="1"/>
  <c r="CQ41" i="1"/>
  <c r="CQ49" i="1"/>
  <c r="CL49" i="1" s="1"/>
  <c r="CQ47" i="1"/>
  <c r="CL47" i="1" s="1"/>
  <c r="CQ43" i="1"/>
  <c r="CL43" i="1" s="1"/>
  <c r="CQ44" i="1"/>
  <c r="CL44" i="1" s="1"/>
  <c r="CQ46" i="1"/>
  <c r="CQ40" i="1"/>
  <c r="CL40" i="1" s="1"/>
  <c r="CQ39" i="1"/>
  <c r="CL39" i="1" s="1"/>
  <c r="CQ48" i="1"/>
  <c r="CL48" i="1" s="1"/>
  <c r="CQ45" i="1"/>
  <c r="CL45" i="1" s="1"/>
  <c r="CQ42" i="1"/>
  <c r="CQ37" i="1"/>
  <c r="CL37" i="1" s="1"/>
  <c r="CQ36" i="1"/>
  <c r="CL36" i="1" s="1"/>
  <c r="CQ38" i="1"/>
  <c r="CL38" i="1" s="1"/>
  <c r="CQ32" i="1"/>
  <c r="CL32" i="1" s="1"/>
  <c r="CQ30" i="1"/>
  <c r="CL30" i="1" s="1"/>
  <c r="CQ26" i="1"/>
  <c r="CL26" i="1" s="1"/>
  <c r="CQ35" i="1"/>
  <c r="CL35" i="1" s="1"/>
  <c r="CQ24" i="1"/>
  <c r="CQ33" i="1"/>
  <c r="CQ23" i="1"/>
  <c r="CL23" i="1" s="1"/>
  <c r="CQ34" i="1"/>
  <c r="CL34" i="1" s="1"/>
  <c r="CQ19" i="1"/>
  <c r="CL19" i="1" s="1"/>
  <c r="CQ29" i="1"/>
  <c r="CL29" i="1" s="1"/>
  <c r="CQ18" i="1"/>
  <c r="CL18" i="1" s="1"/>
  <c r="CQ21" i="1"/>
  <c r="CL21" i="1" s="1"/>
  <c r="CQ15" i="1"/>
  <c r="CL15" i="1" s="1"/>
  <c r="CQ13" i="1"/>
  <c r="CL13" i="1" s="1"/>
  <c r="CQ22" i="1"/>
  <c r="CL22" i="1" s="1"/>
  <c r="CQ20" i="1"/>
  <c r="CL20" i="1" s="1"/>
  <c r="CQ27" i="1"/>
  <c r="CL27" i="1" s="1"/>
  <c r="CQ14" i="1"/>
  <c r="CL14" i="1" s="1"/>
  <c r="CQ17" i="1"/>
  <c r="CL17" i="1" s="1"/>
  <c r="CQ28" i="1"/>
  <c r="CL28" i="1" s="1"/>
  <c r="CQ12" i="1"/>
  <c r="CL12" i="1" s="1"/>
  <c r="CQ11" i="1"/>
  <c r="CL11" i="1" s="1"/>
  <c r="CQ8" i="1"/>
  <c r="CL8" i="1" s="1"/>
  <c r="CQ4" i="1"/>
  <c r="CL4" i="1" s="1"/>
  <c r="CQ3" i="1"/>
  <c r="CL3" i="1" s="1"/>
  <c r="CL33" i="1" l="1"/>
  <c r="FO33" i="1"/>
  <c r="FQ33" i="1" s="1"/>
  <c r="C55" i="26"/>
  <c r="C51" i="26"/>
  <c r="C52" i="26"/>
  <c r="C53" i="26"/>
  <c r="N148" i="26"/>
  <c r="N149" i="26" s="1"/>
  <c r="CC104" i="1" l="1"/>
  <c r="CK37" i="1"/>
  <c r="CJ37" i="1"/>
  <c r="FP104" i="1" l="1"/>
  <c r="FP47" i="1"/>
  <c r="FP48" i="1"/>
  <c r="FP45" i="1"/>
  <c r="FP38" i="1"/>
  <c r="FP39" i="1"/>
  <c r="FP37" i="1"/>
  <c r="FP43" i="1"/>
  <c r="FP40" i="1"/>
  <c r="FP44" i="1"/>
  <c r="FS104" i="1"/>
  <c r="FS70" i="1"/>
  <c r="FS69" i="1"/>
  <c r="FS60" i="1"/>
  <c r="FS47" i="1"/>
  <c r="FS46" i="1"/>
  <c r="FS41" i="1"/>
  <c r="FS48" i="1"/>
  <c r="FS42" i="1"/>
  <c r="FS38" i="1"/>
  <c r="FS37" i="1"/>
  <c r="FS40" i="1"/>
  <c r="FS44" i="1"/>
  <c r="FS45" i="1"/>
  <c r="HY36" i="1" l="1"/>
  <c r="HY100" i="1"/>
  <c r="HY37" i="1"/>
  <c r="HY39" i="1"/>
  <c r="HY3" i="1"/>
  <c r="HY104" i="1"/>
  <c r="HY47" i="1"/>
  <c r="HY24" i="1"/>
  <c r="HY7" i="1"/>
  <c r="HY6" i="1"/>
  <c r="HY4" i="1"/>
  <c r="HY82" i="1"/>
  <c r="HY64" i="1"/>
  <c r="HY60" i="1"/>
  <c r="HY99" i="1"/>
  <c r="HY25" i="1"/>
  <c r="HY26" i="1"/>
  <c r="HY18" i="1"/>
  <c r="HY13" i="1"/>
  <c r="HY98" i="1"/>
  <c r="HY33" i="1"/>
  <c r="HY46" i="1"/>
  <c r="HY62" i="1"/>
  <c r="HY9" i="1"/>
  <c r="HY8" i="1"/>
  <c r="HY16" i="1"/>
  <c r="HY15" i="1"/>
  <c r="HY74" i="1"/>
  <c r="HY44" i="1"/>
  <c r="HY35" i="1"/>
  <c r="HY79" i="1"/>
  <c r="HY66" i="1"/>
  <c r="HY17" i="1"/>
  <c r="HY94" i="1"/>
  <c r="HY93" i="1"/>
  <c r="HY92" i="1"/>
  <c r="HY96" i="1"/>
  <c r="HY27" i="1"/>
  <c r="HY41" i="1"/>
  <c r="HY23" i="1"/>
  <c r="HY59" i="1"/>
  <c r="HY91" i="1"/>
  <c r="HY90" i="1"/>
  <c r="HY22" i="1"/>
  <c r="HY10" i="1"/>
  <c r="HY20" i="1"/>
  <c r="HY40" i="1"/>
  <c r="HY89" i="1"/>
  <c r="HY73" i="1"/>
  <c r="HY58" i="1"/>
  <c r="HY5" i="1"/>
  <c r="HY19" i="1"/>
  <c r="HY30" i="1"/>
  <c r="HY21" i="1"/>
  <c r="HY81" i="1"/>
  <c r="HY77" i="1"/>
  <c r="HY76" i="1"/>
  <c r="HY57" i="1"/>
  <c r="HY55" i="1"/>
  <c r="HY67" i="1"/>
  <c r="HY14" i="1"/>
  <c r="HY84" i="1"/>
  <c r="HY97" i="1"/>
  <c r="HY63" i="1"/>
  <c r="HY43" i="1"/>
  <c r="HY29" i="1"/>
  <c r="HY83" i="1"/>
  <c r="HY11" i="1"/>
  <c r="HY2" i="1"/>
  <c r="HY68" i="1"/>
  <c r="HY78" i="1"/>
  <c r="HY34" i="1"/>
  <c r="HY54" i="1"/>
  <c r="HY88" i="1"/>
  <c r="HY87" i="1"/>
  <c r="HY86" i="1"/>
  <c r="HY101" i="1"/>
  <c r="HY70" i="1"/>
  <c r="HY69" i="1"/>
  <c r="HY85" i="1"/>
  <c r="HY52" i="1"/>
  <c r="HY80" i="1"/>
  <c r="HY72" i="1"/>
  <c r="HY65" i="1"/>
  <c r="HY103" i="1"/>
  <c r="HY75" i="1"/>
  <c r="HY53" i="1"/>
  <c r="HY56" i="1"/>
  <c r="HY28" i="1"/>
  <c r="HY51" i="1"/>
  <c r="HY71" i="1"/>
  <c r="HY31" i="1"/>
  <c r="HY32" i="1"/>
  <c r="HY12" i="1"/>
  <c r="HY102" i="1"/>
  <c r="HY48" i="1"/>
  <c r="HY45" i="1"/>
  <c r="HY50" i="1"/>
  <c r="DW32" i="1" l="1"/>
  <c r="DW31" i="1"/>
  <c r="DW34" i="1"/>
  <c r="DW29" i="1"/>
  <c r="DW21" i="1"/>
  <c r="DW30" i="1"/>
  <c r="DW23" i="1"/>
  <c r="DW35" i="1"/>
  <c r="DW18" i="1"/>
  <c r="DW26" i="1"/>
  <c r="DW25" i="1"/>
  <c r="DW12" i="1"/>
  <c r="DW28" i="1"/>
  <c r="FJ82" i="1"/>
  <c r="FJ61" i="1"/>
  <c r="FJ74" i="1"/>
  <c r="FJ79" i="1"/>
  <c r="FJ94" i="1"/>
  <c r="FJ96" i="1"/>
  <c r="FJ73" i="1"/>
  <c r="FJ76" i="1"/>
  <c r="FJ78" i="1"/>
  <c r="FJ80" i="1"/>
  <c r="FJ72" i="1"/>
  <c r="FJ71" i="1"/>
  <c r="FG82" i="1"/>
  <c r="FG61" i="1"/>
  <c r="FG74" i="1"/>
  <c r="FG79" i="1"/>
  <c r="FG94" i="1"/>
  <c r="FG96" i="1"/>
  <c r="FG73" i="1"/>
  <c r="FG76" i="1"/>
  <c r="FG78" i="1"/>
  <c r="FG80" i="1"/>
  <c r="FG72" i="1"/>
  <c r="FG71" i="1"/>
  <c r="FD82" i="1"/>
  <c r="FD61" i="1"/>
  <c r="FD74" i="1"/>
  <c r="FD79" i="1"/>
  <c r="FD94" i="1"/>
  <c r="FD96" i="1"/>
  <c r="FD73" i="1"/>
  <c r="FD76" i="1"/>
  <c r="FD78" i="1"/>
  <c r="FD80" i="1"/>
  <c r="FD72" i="1"/>
  <c r="FD71" i="1"/>
  <c r="FA82" i="1"/>
  <c r="FA61" i="1"/>
  <c r="FA74" i="1"/>
  <c r="FA79" i="1"/>
  <c r="FA94" i="1"/>
  <c r="FA96" i="1"/>
  <c r="FA73" i="1"/>
  <c r="FA76" i="1"/>
  <c r="FA78" i="1"/>
  <c r="FA80" i="1"/>
  <c r="FA72" i="1"/>
  <c r="FA71" i="1"/>
  <c r="EX82" i="1"/>
  <c r="EX61" i="1"/>
  <c r="EX74" i="1"/>
  <c r="EX79" i="1"/>
  <c r="EX94" i="1"/>
  <c r="EX73" i="1"/>
  <c r="EX76" i="1"/>
  <c r="EX78" i="1"/>
  <c r="EX80" i="1"/>
  <c r="EX72" i="1"/>
  <c r="EX71" i="1"/>
  <c r="EU82" i="1"/>
  <c r="EU61" i="1"/>
  <c r="EU74" i="1"/>
  <c r="EU79" i="1"/>
  <c r="EU94" i="1"/>
  <c r="EU96" i="1"/>
  <c r="EU73" i="1"/>
  <c r="EU76" i="1"/>
  <c r="EU78" i="1"/>
  <c r="EU80" i="1"/>
  <c r="EU72" i="1"/>
  <c r="EU71" i="1"/>
  <c r="ER82" i="1"/>
  <c r="ER61" i="1"/>
  <c r="ER74" i="1"/>
  <c r="ER79" i="1"/>
  <c r="ER94" i="1"/>
  <c r="ER96" i="1"/>
  <c r="ER73" i="1"/>
  <c r="ER76" i="1"/>
  <c r="ER78" i="1"/>
  <c r="ER80" i="1"/>
  <c r="ER72" i="1"/>
  <c r="ER71" i="1"/>
  <c r="EO82" i="1"/>
  <c r="FQ82" i="1" s="1"/>
  <c r="EO61" i="1"/>
  <c r="FQ61" i="1" s="1"/>
  <c r="EO74" i="1"/>
  <c r="FQ74" i="1" s="1"/>
  <c r="EO79" i="1"/>
  <c r="FQ79" i="1" s="1"/>
  <c r="EO94" i="1"/>
  <c r="FQ94" i="1" s="1"/>
  <c r="EO96" i="1"/>
  <c r="FQ96" i="1" s="1"/>
  <c r="EO73" i="1"/>
  <c r="FQ73" i="1" s="1"/>
  <c r="EO76" i="1"/>
  <c r="FQ76" i="1" s="1"/>
  <c r="EO78" i="1"/>
  <c r="FQ78" i="1" s="1"/>
  <c r="EO80" i="1"/>
  <c r="FQ80" i="1" s="1"/>
  <c r="EO72" i="1"/>
  <c r="FQ72" i="1" s="1"/>
  <c r="EO71" i="1"/>
  <c r="FQ71" i="1" s="1"/>
  <c r="EL82" i="1"/>
  <c r="EL74" i="1"/>
  <c r="EL79" i="1"/>
  <c r="EL94" i="1"/>
  <c r="EL96" i="1"/>
  <c r="EL73" i="1"/>
  <c r="EL76" i="1"/>
  <c r="EL78" i="1"/>
  <c r="EL80" i="1"/>
  <c r="EL72" i="1"/>
  <c r="EL71" i="1"/>
  <c r="EH82" i="1"/>
  <c r="EH74" i="1"/>
  <c r="EH79" i="1"/>
  <c r="EH94" i="1"/>
  <c r="EH96" i="1"/>
  <c r="EH73" i="1"/>
  <c r="EH76" i="1"/>
  <c r="EH78" i="1"/>
  <c r="EH80" i="1"/>
  <c r="EH72" i="1"/>
  <c r="EH71" i="1"/>
  <c r="EE82" i="1"/>
  <c r="EE74" i="1"/>
  <c r="EE79" i="1"/>
  <c r="EE94" i="1"/>
  <c r="EE96" i="1"/>
  <c r="EE73" i="1"/>
  <c r="EE76" i="1"/>
  <c r="EE78" i="1"/>
  <c r="EE80" i="1"/>
  <c r="EE72" i="1"/>
  <c r="EE71" i="1"/>
  <c r="EB82" i="1"/>
  <c r="EB74" i="1"/>
  <c r="EB79" i="1"/>
  <c r="EB96" i="1"/>
  <c r="EB73" i="1"/>
  <c r="EB78" i="1"/>
  <c r="EB80" i="1"/>
  <c r="EB72" i="1"/>
  <c r="EB71" i="1"/>
  <c r="DY82" i="1"/>
  <c r="DY74" i="1"/>
  <c r="DY73" i="1"/>
  <c r="DY76" i="1"/>
  <c r="DY72" i="1"/>
  <c r="DY71" i="1"/>
  <c r="DW71" i="1"/>
  <c r="DW72" i="1"/>
  <c r="DW80" i="1"/>
  <c r="FJ49" i="1"/>
  <c r="FJ64" i="1"/>
  <c r="FJ60" i="1"/>
  <c r="FJ81" i="1"/>
  <c r="FJ55" i="1"/>
  <c r="FJ63" i="1"/>
  <c r="FJ68" i="1"/>
  <c r="FJ54" i="1"/>
  <c r="FJ52" i="1"/>
  <c r="FJ65" i="1"/>
  <c r="FJ75" i="1"/>
  <c r="FJ53" i="1"/>
  <c r="FJ51" i="1"/>
  <c r="FJ50" i="1"/>
  <c r="FG49" i="1"/>
  <c r="FG64" i="1"/>
  <c r="FG60" i="1"/>
  <c r="FG81" i="1"/>
  <c r="FG55" i="1"/>
  <c r="FG63" i="1"/>
  <c r="FG68" i="1"/>
  <c r="FG54" i="1"/>
  <c r="FG52" i="1"/>
  <c r="FG65" i="1"/>
  <c r="FG75" i="1"/>
  <c r="FG53" i="1"/>
  <c r="FG51" i="1"/>
  <c r="FG50" i="1"/>
  <c r="FD49" i="1"/>
  <c r="FD64" i="1"/>
  <c r="FD60" i="1"/>
  <c r="FD81" i="1"/>
  <c r="FD55" i="1"/>
  <c r="FD63" i="1"/>
  <c r="FD68" i="1"/>
  <c r="FD54" i="1"/>
  <c r="FD52" i="1"/>
  <c r="FD65" i="1"/>
  <c r="FD75" i="1"/>
  <c r="FD53" i="1"/>
  <c r="FD51" i="1"/>
  <c r="FD50" i="1"/>
  <c r="FA49" i="1"/>
  <c r="FA64" i="1"/>
  <c r="FA60" i="1"/>
  <c r="FA81" i="1"/>
  <c r="FA55" i="1"/>
  <c r="FA63" i="1"/>
  <c r="FA68" i="1"/>
  <c r="FA54" i="1"/>
  <c r="FA52" i="1"/>
  <c r="FA65" i="1"/>
  <c r="FA75" i="1"/>
  <c r="FA53" i="1"/>
  <c r="FA51" i="1"/>
  <c r="FA50" i="1"/>
  <c r="EX49" i="1"/>
  <c r="EX64" i="1"/>
  <c r="EX60" i="1"/>
  <c r="EX81" i="1"/>
  <c r="EX55" i="1"/>
  <c r="EX63" i="1"/>
  <c r="EX68" i="1"/>
  <c r="EX54" i="1"/>
  <c r="EX52" i="1"/>
  <c r="EX65" i="1"/>
  <c r="EX75" i="1"/>
  <c r="EX53" i="1"/>
  <c r="EX51" i="1"/>
  <c r="EX50" i="1"/>
  <c r="EU49" i="1"/>
  <c r="EU64" i="1"/>
  <c r="EU60" i="1"/>
  <c r="EU81" i="1"/>
  <c r="EU55" i="1"/>
  <c r="EU63" i="1"/>
  <c r="EU68" i="1"/>
  <c r="EU54" i="1"/>
  <c r="EU52" i="1"/>
  <c r="EU65" i="1"/>
  <c r="EU75" i="1"/>
  <c r="EU53" i="1"/>
  <c r="EU51" i="1"/>
  <c r="EU50" i="1"/>
  <c r="ER49" i="1"/>
  <c r="ER64" i="1"/>
  <c r="ER60" i="1"/>
  <c r="ER81" i="1"/>
  <c r="ER55" i="1"/>
  <c r="ER63" i="1"/>
  <c r="ER68" i="1"/>
  <c r="ER54" i="1"/>
  <c r="ER52" i="1"/>
  <c r="ER65" i="1"/>
  <c r="ER75" i="1"/>
  <c r="ER53" i="1"/>
  <c r="ER51" i="1"/>
  <c r="ER50" i="1"/>
  <c r="EO64" i="1"/>
  <c r="EO81" i="1"/>
  <c r="EO55" i="1"/>
  <c r="EO63" i="1"/>
  <c r="EO68" i="1"/>
  <c r="EO54" i="1"/>
  <c r="EO52" i="1"/>
  <c r="EO65" i="1"/>
  <c r="EO75" i="1"/>
  <c r="EO53" i="1"/>
  <c r="EO51" i="1"/>
  <c r="EO50" i="1"/>
  <c r="EL64" i="1"/>
  <c r="EL81" i="1"/>
  <c r="EL55" i="1"/>
  <c r="EL63" i="1"/>
  <c r="EL68" i="1"/>
  <c r="EL54" i="1"/>
  <c r="EL52" i="1"/>
  <c r="EL65" i="1"/>
  <c r="EL75" i="1"/>
  <c r="EL53" i="1"/>
  <c r="EL51" i="1"/>
  <c r="EL50" i="1"/>
  <c r="EH64" i="1"/>
  <c r="EH81" i="1"/>
  <c r="EH68" i="1"/>
  <c r="EH54" i="1"/>
  <c r="EH52" i="1"/>
  <c r="EH65" i="1"/>
  <c r="EH75" i="1"/>
  <c r="EH51" i="1"/>
  <c r="EH50" i="1"/>
  <c r="EI50" i="1" s="1"/>
  <c r="EE81" i="1"/>
  <c r="EE54" i="1"/>
  <c r="EE52" i="1"/>
  <c r="EE75" i="1"/>
  <c r="EE51" i="1"/>
  <c r="EE50" i="1"/>
  <c r="DW52" i="1"/>
  <c r="DW65" i="1"/>
  <c r="DW75" i="1"/>
  <c r="DW53" i="1"/>
  <c r="DW51" i="1"/>
  <c r="DW50" i="1"/>
  <c r="EL62" i="1"/>
  <c r="EL66" i="1"/>
  <c r="EL59" i="1"/>
  <c r="EL67" i="1"/>
  <c r="EL56" i="1"/>
  <c r="EO62" i="1"/>
  <c r="EO66" i="1"/>
  <c r="EO59" i="1"/>
  <c r="EO67" i="1"/>
  <c r="EO56" i="1"/>
  <c r="ER62" i="1"/>
  <c r="ER66" i="1"/>
  <c r="ER59" i="1"/>
  <c r="ER58" i="1"/>
  <c r="ER67" i="1"/>
  <c r="ER56" i="1"/>
  <c r="EU62" i="1"/>
  <c r="EU66" i="1"/>
  <c r="EU59" i="1"/>
  <c r="EU58" i="1"/>
  <c r="EU67" i="1"/>
  <c r="EU56" i="1"/>
  <c r="EX62" i="1"/>
  <c r="EX66" i="1"/>
  <c r="EX59" i="1"/>
  <c r="EX58" i="1"/>
  <c r="EX67" i="1"/>
  <c r="EX56" i="1"/>
  <c r="FA67" i="1"/>
  <c r="FA58" i="1"/>
  <c r="FA59" i="1"/>
  <c r="FA66" i="1"/>
  <c r="FA62" i="1"/>
  <c r="FA56" i="1"/>
  <c r="FA42" i="1"/>
  <c r="DW56" i="1"/>
  <c r="FJ47" i="1" l="1"/>
  <c r="FK47" i="1" s="1"/>
  <c r="FJ46" i="1"/>
  <c r="FK46" i="1" s="1"/>
  <c r="FJ44" i="1"/>
  <c r="FK44" i="1" s="1"/>
  <c r="FJ40" i="1"/>
  <c r="FK40" i="1" s="1"/>
  <c r="FJ45" i="1"/>
  <c r="FK45" i="1" s="1"/>
  <c r="FG47" i="1"/>
  <c r="FH47" i="1" s="1"/>
  <c r="FG46" i="1"/>
  <c r="FH46" i="1" s="1"/>
  <c r="FG44" i="1"/>
  <c r="FH44" i="1" s="1"/>
  <c r="FG40" i="1"/>
  <c r="FH40" i="1" s="1"/>
  <c r="FG45" i="1"/>
  <c r="FH45" i="1" s="1"/>
  <c r="FD47" i="1"/>
  <c r="FE47" i="1" s="1"/>
  <c r="FD46" i="1"/>
  <c r="FE46" i="1" s="1"/>
  <c r="FD44" i="1"/>
  <c r="FE44" i="1" s="1"/>
  <c r="FD40" i="1"/>
  <c r="FE40" i="1" s="1"/>
  <c r="FD45" i="1"/>
  <c r="FE45" i="1" s="1"/>
  <c r="FA47" i="1"/>
  <c r="FB47" i="1" s="1"/>
  <c r="FA46" i="1"/>
  <c r="FB46" i="1" s="1"/>
  <c r="FA44" i="1"/>
  <c r="FB44" i="1" s="1"/>
  <c r="FB40" i="1"/>
  <c r="FA57" i="1"/>
  <c r="FB57" i="1" s="1"/>
  <c r="FA69" i="1"/>
  <c r="FB69" i="1" s="1"/>
  <c r="FA45" i="1"/>
  <c r="FB45" i="1" s="1"/>
  <c r="EX46" i="1"/>
  <c r="EY46" i="1" s="1"/>
  <c r="EX57" i="1"/>
  <c r="EY57" i="1" s="1"/>
  <c r="EX20" i="1"/>
  <c r="EY20" i="1" s="1"/>
  <c r="EX10" i="1"/>
  <c r="EY10" i="1" s="1"/>
  <c r="EX22" i="1"/>
  <c r="EY22" i="1" s="1"/>
  <c r="EX90" i="1"/>
  <c r="EY90" i="1" s="1"/>
  <c r="EY63" i="1"/>
  <c r="EX91" i="1"/>
  <c r="EY91" i="1" s="1"/>
  <c r="EY59" i="1"/>
  <c r="EX23" i="1"/>
  <c r="EY23" i="1" s="1"/>
  <c r="EX41" i="1"/>
  <c r="EY41" i="1" s="1"/>
  <c r="EX27" i="1"/>
  <c r="EY27" i="1" s="1"/>
  <c r="EX96" i="1"/>
  <c r="EY96" i="1" s="1"/>
  <c r="EX92" i="1"/>
  <c r="EY92" i="1" s="1"/>
  <c r="EX93" i="1"/>
  <c r="EY93" i="1" s="1"/>
  <c r="EY94" i="1"/>
  <c r="EX17" i="1"/>
  <c r="EY17" i="1" s="1"/>
  <c r="EY66" i="1"/>
  <c r="EY79" i="1"/>
  <c r="EX35" i="1"/>
  <c r="EY35" i="1" s="1"/>
  <c r="EX69" i="1"/>
  <c r="EY69" i="1" s="1"/>
  <c r="EX45" i="1"/>
  <c r="EY45" i="1" s="1"/>
  <c r="EV45" i="1"/>
  <c r="EV46" i="1"/>
  <c r="EU57" i="1"/>
  <c r="EV57" i="1" s="1"/>
  <c r="EU69" i="1"/>
  <c r="EV69" i="1" s="1"/>
  <c r="ER57" i="1"/>
  <c r="ES57" i="1" s="1"/>
  <c r="ER69" i="1"/>
  <c r="ES69" i="1" s="1"/>
  <c r="DW45" i="1"/>
  <c r="DW48" i="1"/>
  <c r="DZ45" i="1"/>
  <c r="EC45" i="1"/>
  <c r="EF45" i="1"/>
  <c r="EI45" i="1"/>
  <c r="EM45" i="1"/>
  <c r="EP45" i="1"/>
  <c r="ES45" i="1"/>
  <c r="FQ45" i="1"/>
  <c r="FY45" i="1"/>
  <c r="FY36" i="1"/>
  <c r="FY37" i="1"/>
  <c r="FY3" i="1"/>
  <c r="FY104" i="1"/>
  <c r="FY47" i="1"/>
  <c r="FY24" i="1"/>
  <c r="FY7" i="1"/>
  <c r="FY6" i="1"/>
  <c r="FY4" i="1"/>
  <c r="FY60" i="1"/>
  <c r="FY25" i="1"/>
  <c r="FY26" i="1"/>
  <c r="FY18" i="1"/>
  <c r="FY13" i="1"/>
  <c r="FY33" i="1"/>
  <c r="FY46" i="1"/>
  <c r="FY9" i="1"/>
  <c r="FY8" i="1"/>
  <c r="FY16" i="1"/>
  <c r="FY15" i="1"/>
  <c r="FY44" i="1"/>
  <c r="FY35" i="1"/>
  <c r="FY17" i="1"/>
  <c r="FY27" i="1"/>
  <c r="FY41" i="1"/>
  <c r="FY23" i="1"/>
  <c r="FY22" i="1"/>
  <c r="FY10" i="1"/>
  <c r="FY20" i="1"/>
  <c r="FY40" i="1"/>
  <c r="FY5" i="1"/>
  <c r="FY19" i="1"/>
  <c r="FY30" i="1"/>
  <c r="FY21" i="1"/>
  <c r="FY14" i="1"/>
  <c r="FY29" i="1"/>
  <c r="FY42" i="1"/>
  <c r="FY11" i="1"/>
  <c r="FY2" i="1"/>
  <c r="FY34" i="1"/>
  <c r="FY69" i="1"/>
  <c r="FY28" i="1"/>
  <c r="FY31" i="1"/>
  <c r="FY32" i="1"/>
  <c r="FY12" i="1"/>
  <c r="FY48" i="1"/>
  <c r="FQ36" i="1"/>
  <c r="FQ100" i="1"/>
  <c r="FQ37" i="1"/>
  <c r="FQ3" i="1"/>
  <c r="FQ104" i="1"/>
  <c r="FQ47" i="1"/>
  <c r="FQ24" i="1"/>
  <c r="FQ7" i="1"/>
  <c r="FQ6" i="1"/>
  <c r="FQ4" i="1"/>
  <c r="FQ64" i="1"/>
  <c r="FQ60" i="1"/>
  <c r="FQ49" i="1"/>
  <c r="FQ99" i="1"/>
  <c r="FQ25" i="1"/>
  <c r="FQ26" i="1"/>
  <c r="FQ18" i="1"/>
  <c r="FQ13" i="1"/>
  <c r="FQ98" i="1"/>
  <c r="FQ46" i="1"/>
  <c r="FQ9" i="1"/>
  <c r="FQ8" i="1"/>
  <c r="FQ16" i="1"/>
  <c r="FQ15" i="1"/>
  <c r="FQ44" i="1"/>
  <c r="FQ35" i="1"/>
  <c r="FQ17" i="1"/>
  <c r="FQ93" i="1"/>
  <c r="FQ92" i="1"/>
  <c r="FQ27" i="1"/>
  <c r="FQ41" i="1"/>
  <c r="FQ23" i="1"/>
  <c r="FQ91" i="1"/>
  <c r="FQ63" i="1"/>
  <c r="FQ90" i="1"/>
  <c r="FQ22" i="1"/>
  <c r="FQ10" i="1"/>
  <c r="FQ20" i="1"/>
  <c r="FQ40" i="1"/>
  <c r="FQ89" i="1"/>
  <c r="FQ5" i="1"/>
  <c r="FQ19" i="1"/>
  <c r="FQ30" i="1"/>
  <c r="FQ21" i="1"/>
  <c r="FQ81" i="1"/>
  <c r="FQ77" i="1"/>
  <c r="FQ57" i="1"/>
  <c r="FQ55" i="1"/>
  <c r="FQ14" i="1"/>
  <c r="FQ84" i="1"/>
  <c r="FQ97" i="1"/>
  <c r="FQ43" i="1"/>
  <c r="FQ29" i="1"/>
  <c r="FQ83" i="1"/>
  <c r="FQ11" i="1"/>
  <c r="FQ2" i="1"/>
  <c r="FQ68" i="1"/>
  <c r="FQ34" i="1"/>
  <c r="FQ54" i="1"/>
  <c r="FQ88" i="1"/>
  <c r="FQ87" i="1"/>
  <c r="FQ86" i="1"/>
  <c r="FQ101" i="1"/>
  <c r="FQ70" i="1"/>
  <c r="FQ69" i="1"/>
  <c r="FQ85" i="1"/>
  <c r="FQ52" i="1"/>
  <c r="FQ65" i="1"/>
  <c r="FQ103" i="1"/>
  <c r="FQ75" i="1"/>
  <c r="FQ53" i="1"/>
  <c r="FQ28" i="1"/>
  <c r="FQ51" i="1"/>
  <c r="FQ31" i="1"/>
  <c r="FQ32" i="1"/>
  <c r="FQ12" i="1"/>
  <c r="FQ102" i="1"/>
  <c r="FQ48" i="1"/>
  <c r="FQ50" i="1"/>
  <c r="FK36" i="1"/>
  <c r="FK100" i="1"/>
  <c r="FK37" i="1"/>
  <c r="FK39" i="1"/>
  <c r="FK3" i="1"/>
  <c r="FK104" i="1"/>
  <c r="FK24" i="1"/>
  <c r="FK7" i="1"/>
  <c r="FK6" i="1"/>
  <c r="FK4" i="1"/>
  <c r="FK82" i="1"/>
  <c r="FK64" i="1"/>
  <c r="FK61" i="1"/>
  <c r="FK60" i="1"/>
  <c r="FK49" i="1"/>
  <c r="FK99" i="1"/>
  <c r="FK25" i="1"/>
  <c r="FK26" i="1"/>
  <c r="FK18" i="1"/>
  <c r="FK13" i="1"/>
  <c r="FK98" i="1"/>
  <c r="FK62" i="1"/>
  <c r="FK9" i="1"/>
  <c r="FK8" i="1"/>
  <c r="FK16" i="1"/>
  <c r="FK15" i="1"/>
  <c r="FK74" i="1"/>
  <c r="FK35" i="1"/>
  <c r="FK79" i="1"/>
  <c r="FK66" i="1"/>
  <c r="FK17" i="1"/>
  <c r="FK94" i="1"/>
  <c r="FK93" i="1"/>
  <c r="FK92" i="1"/>
  <c r="FK96" i="1"/>
  <c r="FK27" i="1"/>
  <c r="FK41" i="1"/>
  <c r="FK23" i="1"/>
  <c r="FK59" i="1"/>
  <c r="FK91" i="1"/>
  <c r="FK63" i="1"/>
  <c r="FK90" i="1"/>
  <c r="FK22" i="1"/>
  <c r="FK10" i="1"/>
  <c r="FK20" i="1"/>
  <c r="FK89" i="1"/>
  <c r="FK73" i="1"/>
  <c r="FK58" i="1"/>
  <c r="FK5" i="1"/>
  <c r="FK19" i="1"/>
  <c r="FK30" i="1"/>
  <c r="FK21" i="1"/>
  <c r="FK81" i="1"/>
  <c r="FK77" i="1"/>
  <c r="FK76" i="1"/>
  <c r="FK57" i="1"/>
  <c r="FK55" i="1"/>
  <c r="FK67" i="1"/>
  <c r="FK14" i="1"/>
  <c r="FK84" i="1"/>
  <c r="FK97" i="1"/>
  <c r="FK43" i="1"/>
  <c r="FK29" i="1"/>
  <c r="FK42" i="1"/>
  <c r="FK83" i="1"/>
  <c r="FK11" i="1"/>
  <c r="FK2" i="1"/>
  <c r="FK68" i="1"/>
  <c r="FK78" i="1"/>
  <c r="FK34" i="1"/>
  <c r="FK54" i="1"/>
  <c r="FK88" i="1"/>
  <c r="FK87" i="1"/>
  <c r="FK86" i="1"/>
  <c r="FK101" i="1"/>
  <c r="FK70" i="1"/>
  <c r="FK69" i="1"/>
  <c r="FK85" i="1"/>
  <c r="FK52" i="1"/>
  <c r="FK80" i="1"/>
  <c r="FK72" i="1"/>
  <c r="FK65" i="1"/>
  <c r="FK103" i="1"/>
  <c r="FK75" i="1"/>
  <c r="FK53" i="1"/>
  <c r="FK56" i="1"/>
  <c r="FK28" i="1"/>
  <c r="FK51" i="1"/>
  <c r="FK71" i="1"/>
  <c r="FK31" i="1"/>
  <c r="FK32" i="1"/>
  <c r="FK12" i="1"/>
  <c r="FK102" i="1"/>
  <c r="FK48" i="1"/>
  <c r="FK50" i="1"/>
  <c r="FH36" i="1"/>
  <c r="FH100" i="1"/>
  <c r="FH37" i="1"/>
  <c r="FH39" i="1"/>
  <c r="FH3" i="1"/>
  <c r="FH104" i="1"/>
  <c r="FH24" i="1"/>
  <c r="FH7" i="1"/>
  <c r="FH6" i="1"/>
  <c r="FH4" i="1"/>
  <c r="FH82" i="1"/>
  <c r="FH64" i="1"/>
  <c r="FH61" i="1"/>
  <c r="FH60" i="1"/>
  <c r="FH49" i="1"/>
  <c r="FH99" i="1"/>
  <c r="FH25" i="1"/>
  <c r="FH26" i="1"/>
  <c r="FH18" i="1"/>
  <c r="FH13" i="1"/>
  <c r="FH98" i="1"/>
  <c r="FH62" i="1"/>
  <c r="FH9" i="1"/>
  <c r="FH8" i="1"/>
  <c r="FH16" i="1"/>
  <c r="FH15" i="1"/>
  <c r="FH74" i="1"/>
  <c r="FH35" i="1"/>
  <c r="FH79" i="1"/>
  <c r="FH66" i="1"/>
  <c r="FH17" i="1"/>
  <c r="FH94" i="1"/>
  <c r="FH93" i="1"/>
  <c r="FH92" i="1"/>
  <c r="FH96" i="1"/>
  <c r="FH27" i="1"/>
  <c r="FH41" i="1"/>
  <c r="FH23" i="1"/>
  <c r="FH59" i="1"/>
  <c r="FH91" i="1"/>
  <c r="FH63" i="1"/>
  <c r="FH90" i="1"/>
  <c r="FH22" i="1"/>
  <c r="FH10" i="1"/>
  <c r="FH20" i="1"/>
  <c r="FH89" i="1"/>
  <c r="FH73" i="1"/>
  <c r="FH58" i="1"/>
  <c r="FH5" i="1"/>
  <c r="FH19" i="1"/>
  <c r="FH30" i="1"/>
  <c r="FH21" i="1"/>
  <c r="FH81" i="1"/>
  <c r="FH77" i="1"/>
  <c r="FH76" i="1"/>
  <c r="FH57" i="1"/>
  <c r="FH55" i="1"/>
  <c r="FH67" i="1"/>
  <c r="FH14" i="1"/>
  <c r="FH84" i="1"/>
  <c r="FH97" i="1"/>
  <c r="FH43" i="1"/>
  <c r="FH29" i="1"/>
  <c r="FH42" i="1"/>
  <c r="FH83" i="1"/>
  <c r="FH11" i="1"/>
  <c r="FH2" i="1"/>
  <c r="FH68" i="1"/>
  <c r="FH78" i="1"/>
  <c r="FH34" i="1"/>
  <c r="FH54" i="1"/>
  <c r="FH88" i="1"/>
  <c r="FH87" i="1"/>
  <c r="FH86" i="1"/>
  <c r="FH101" i="1"/>
  <c r="FH70" i="1"/>
  <c r="FH69" i="1"/>
  <c r="FH85" i="1"/>
  <c r="FH52" i="1"/>
  <c r="FH80" i="1"/>
  <c r="FH72" i="1"/>
  <c r="FH65" i="1"/>
  <c r="FH103" i="1"/>
  <c r="FH75" i="1"/>
  <c r="FH53" i="1"/>
  <c r="FH56" i="1"/>
  <c r="FH28" i="1"/>
  <c r="FH51" i="1"/>
  <c r="FH71" i="1"/>
  <c r="FH31" i="1"/>
  <c r="FH32" i="1"/>
  <c r="FH12" i="1"/>
  <c r="FH102" i="1"/>
  <c r="FH48" i="1"/>
  <c r="FH50" i="1"/>
  <c r="FE36" i="1"/>
  <c r="FE100" i="1"/>
  <c r="FE37" i="1"/>
  <c r="FE39" i="1"/>
  <c r="FE3" i="1"/>
  <c r="FE104" i="1"/>
  <c r="FE24" i="1"/>
  <c r="FE7" i="1"/>
  <c r="FE6" i="1"/>
  <c r="FE4" i="1"/>
  <c r="FE82" i="1"/>
  <c r="FE64" i="1"/>
  <c r="FE61" i="1"/>
  <c r="FE60" i="1"/>
  <c r="FE49" i="1"/>
  <c r="FE99" i="1"/>
  <c r="FE25" i="1"/>
  <c r="FE26" i="1"/>
  <c r="FE18" i="1"/>
  <c r="FE13" i="1"/>
  <c r="FE98" i="1"/>
  <c r="FE62" i="1"/>
  <c r="FE9" i="1"/>
  <c r="FE8" i="1"/>
  <c r="FE16" i="1"/>
  <c r="FE15" i="1"/>
  <c r="FE74" i="1"/>
  <c r="FE35" i="1"/>
  <c r="FE79" i="1"/>
  <c r="FE66" i="1"/>
  <c r="FE17" i="1"/>
  <c r="FE94" i="1"/>
  <c r="FE93" i="1"/>
  <c r="FE92" i="1"/>
  <c r="FE96" i="1"/>
  <c r="FE27" i="1"/>
  <c r="FE41" i="1"/>
  <c r="FE23" i="1"/>
  <c r="FE59" i="1"/>
  <c r="FE91" i="1"/>
  <c r="FE63" i="1"/>
  <c r="FE90" i="1"/>
  <c r="FE22" i="1"/>
  <c r="FE10" i="1"/>
  <c r="FE20" i="1"/>
  <c r="FE89" i="1"/>
  <c r="FE73" i="1"/>
  <c r="FE58" i="1"/>
  <c r="FE5" i="1"/>
  <c r="FE19" i="1"/>
  <c r="FE30" i="1"/>
  <c r="FE21" i="1"/>
  <c r="FE81" i="1"/>
  <c r="FE77" i="1"/>
  <c r="FE76" i="1"/>
  <c r="FE57" i="1"/>
  <c r="FE55" i="1"/>
  <c r="FE67" i="1"/>
  <c r="FE14" i="1"/>
  <c r="FE84" i="1"/>
  <c r="FE97" i="1"/>
  <c r="FE43" i="1"/>
  <c r="FE29" i="1"/>
  <c r="FE42" i="1"/>
  <c r="FE83" i="1"/>
  <c r="FE11" i="1"/>
  <c r="FE2" i="1"/>
  <c r="FE68" i="1"/>
  <c r="FE78" i="1"/>
  <c r="FE34" i="1"/>
  <c r="FE54" i="1"/>
  <c r="FE88" i="1"/>
  <c r="FE87" i="1"/>
  <c r="FE86" i="1"/>
  <c r="FE101" i="1"/>
  <c r="FE70" i="1"/>
  <c r="FE69" i="1"/>
  <c r="FE85" i="1"/>
  <c r="FE52" i="1"/>
  <c r="FE80" i="1"/>
  <c r="FE72" i="1"/>
  <c r="FE65" i="1"/>
  <c r="FE103" i="1"/>
  <c r="FE75" i="1"/>
  <c r="FE53" i="1"/>
  <c r="FE56" i="1"/>
  <c r="FE28" i="1"/>
  <c r="FE51" i="1"/>
  <c r="FE71" i="1"/>
  <c r="FE31" i="1"/>
  <c r="FE32" i="1"/>
  <c r="FE12" i="1"/>
  <c r="FE102" i="1"/>
  <c r="FE48" i="1"/>
  <c r="FE50" i="1"/>
  <c r="FB36" i="1"/>
  <c r="FB100" i="1"/>
  <c r="FB37" i="1"/>
  <c r="FB39" i="1"/>
  <c r="FB3" i="1"/>
  <c r="FB104" i="1"/>
  <c r="FB24" i="1"/>
  <c r="FB7" i="1"/>
  <c r="FB6" i="1"/>
  <c r="FB4" i="1"/>
  <c r="FB82" i="1"/>
  <c r="FB64" i="1"/>
  <c r="FB61" i="1"/>
  <c r="FB60" i="1"/>
  <c r="FB49" i="1"/>
  <c r="FB99" i="1"/>
  <c r="FB25" i="1"/>
  <c r="FB26" i="1"/>
  <c r="FB18" i="1"/>
  <c r="FB13" i="1"/>
  <c r="FB98" i="1"/>
  <c r="FB62" i="1"/>
  <c r="FB9" i="1"/>
  <c r="FB8" i="1"/>
  <c r="FB16" i="1"/>
  <c r="FB15" i="1"/>
  <c r="FB74" i="1"/>
  <c r="FB35" i="1"/>
  <c r="FB79" i="1"/>
  <c r="FB66" i="1"/>
  <c r="FB17" i="1"/>
  <c r="FB94" i="1"/>
  <c r="FB93" i="1"/>
  <c r="FB92" i="1"/>
  <c r="FB96" i="1"/>
  <c r="FB27" i="1"/>
  <c r="FB41" i="1"/>
  <c r="FB23" i="1"/>
  <c r="FB59" i="1"/>
  <c r="FB91" i="1"/>
  <c r="FB63" i="1"/>
  <c r="FB90" i="1"/>
  <c r="FB22" i="1"/>
  <c r="FB10" i="1"/>
  <c r="FB20" i="1"/>
  <c r="FB89" i="1"/>
  <c r="FB73" i="1"/>
  <c r="FB58" i="1"/>
  <c r="FB5" i="1"/>
  <c r="FB19" i="1"/>
  <c r="FB30" i="1"/>
  <c r="FB21" i="1"/>
  <c r="FB81" i="1"/>
  <c r="FB77" i="1"/>
  <c r="FB76" i="1"/>
  <c r="FB55" i="1"/>
  <c r="FB67" i="1"/>
  <c r="FB14" i="1"/>
  <c r="FB84" i="1"/>
  <c r="FB97" i="1"/>
  <c r="FB43" i="1"/>
  <c r="FB29" i="1"/>
  <c r="FB42" i="1"/>
  <c r="FB83" i="1"/>
  <c r="FB11" i="1"/>
  <c r="FB2" i="1"/>
  <c r="FB68" i="1"/>
  <c r="FB78" i="1"/>
  <c r="FB34" i="1"/>
  <c r="FB54" i="1"/>
  <c r="FB88" i="1"/>
  <c r="FB87" i="1"/>
  <c r="FB86" i="1"/>
  <c r="FB101" i="1"/>
  <c r="FB70" i="1"/>
  <c r="FB85" i="1"/>
  <c r="FB52" i="1"/>
  <c r="FB80" i="1"/>
  <c r="FB72" i="1"/>
  <c r="FB65" i="1"/>
  <c r="FB103" i="1"/>
  <c r="FB75" i="1"/>
  <c r="FB53" i="1"/>
  <c r="FB56" i="1"/>
  <c r="FB28" i="1"/>
  <c r="FB51" i="1"/>
  <c r="FB71" i="1"/>
  <c r="FB31" i="1"/>
  <c r="FB32" i="1"/>
  <c r="FB12" i="1"/>
  <c r="FB102" i="1"/>
  <c r="FB48" i="1"/>
  <c r="FB50" i="1"/>
  <c r="EY36" i="1"/>
  <c r="EY100" i="1"/>
  <c r="EY37" i="1"/>
  <c r="EY39" i="1"/>
  <c r="EY3" i="1"/>
  <c r="EY104" i="1"/>
  <c r="EY47" i="1"/>
  <c r="EY24" i="1"/>
  <c r="EY7" i="1"/>
  <c r="EY6" i="1"/>
  <c r="EY4" i="1"/>
  <c r="EY82" i="1"/>
  <c r="EY64" i="1"/>
  <c r="EY61" i="1"/>
  <c r="EY60" i="1"/>
  <c r="EY49" i="1"/>
  <c r="EY99" i="1"/>
  <c r="EY25" i="1"/>
  <c r="EY26" i="1"/>
  <c r="EY18" i="1"/>
  <c r="EY13" i="1"/>
  <c r="EY98" i="1"/>
  <c r="EY62" i="1"/>
  <c r="EY9" i="1"/>
  <c r="EY8" i="1"/>
  <c r="EY16" i="1"/>
  <c r="EY15" i="1"/>
  <c r="EY74" i="1"/>
  <c r="EY44" i="1"/>
  <c r="EY40" i="1"/>
  <c r="EY89" i="1"/>
  <c r="EY73" i="1"/>
  <c r="EY58" i="1"/>
  <c r="EY5" i="1"/>
  <c r="EY19" i="1"/>
  <c r="EY30" i="1"/>
  <c r="EY21" i="1"/>
  <c r="EY81" i="1"/>
  <c r="EY77" i="1"/>
  <c r="EY76" i="1"/>
  <c r="EY55" i="1"/>
  <c r="EY67" i="1"/>
  <c r="EY14" i="1"/>
  <c r="EY84" i="1"/>
  <c r="EY97" i="1"/>
  <c r="EY43" i="1"/>
  <c r="EY29" i="1"/>
  <c r="EY42" i="1"/>
  <c r="EY83" i="1"/>
  <c r="EY11" i="1"/>
  <c r="EY2" i="1"/>
  <c r="EY68" i="1"/>
  <c r="EY78" i="1"/>
  <c r="EY34" i="1"/>
  <c r="EY54" i="1"/>
  <c r="EY88" i="1"/>
  <c r="EY87" i="1"/>
  <c r="EY86" i="1"/>
  <c r="EY101" i="1"/>
  <c r="EY70" i="1"/>
  <c r="EY85" i="1"/>
  <c r="EY52" i="1"/>
  <c r="EY80" i="1"/>
  <c r="EY72" i="1"/>
  <c r="EY65" i="1"/>
  <c r="EY103" i="1"/>
  <c r="EY75" i="1"/>
  <c r="EY53" i="1"/>
  <c r="EY56" i="1"/>
  <c r="EY28" i="1"/>
  <c r="EY51" i="1"/>
  <c r="EY71" i="1"/>
  <c r="EY31" i="1"/>
  <c r="EY32" i="1"/>
  <c r="EY12" i="1"/>
  <c r="EY102" i="1"/>
  <c r="EY48" i="1"/>
  <c r="EY50" i="1"/>
  <c r="FY38" i="1"/>
  <c r="FQ38" i="1"/>
  <c r="FK38" i="1"/>
  <c r="FH38" i="1"/>
  <c r="FE38" i="1"/>
  <c r="FB38" i="1"/>
  <c r="EY38" i="1"/>
  <c r="EV50" i="1"/>
  <c r="EV48" i="1"/>
  <c r="EV102" i="1"/>
  <c r="EV12" i="1"/>
  <c r="EV32" i="1"/>
  <c r="EV31" i="1"/>
  <c r="EV71" i="1"/>
  <c r="EV51" i="1"/>
  <c r="EV28" i="1"/>
  <c r="EV56" i="1"/>
  <c r="EV53" i="1"/>
  <c r="EV75" i="1"/>
  <c r="EV103" i="1"/>
  <c r="EV65" i="1"/>
  <c r="EV72" i="1"/>
  <c r="EV80" i="1"/>
  <c r="EV52" i="1"/>
  <c r="EV85" i="1"/>
  <c r="EV70" i="1"/>
  <c r="EV101" i="1"/>
  <c r="EV86" i="1"/>
  <c r="EV87" i="1"/>
  <c r="EV88" i="1"/>
  <c r="EV54" i="1"/>
  <c r="EV34" i="1"/>
  <c r="EV78" i="1"/>
  <c r="EV68" i="1"/>
  <c r="EV2" i="1"/>
  <c r="EV11" i="1"/>
  <c r="EV83" i="1"/>
  <c r="EV42" i="1"/>
  <c r="EV29" i="1"/>
  <c r="EV43" i="1"/>
  <c r="EV97" i="1"/>
  <c r="EV84" i="1"/>
  <c r="EV14" i="1"/>
  <c r="EV67" i="1"/>
  <c r="EV55" i="1"/>
  <c r="EV76" i="1"/>
  <c r="EV77" i="1"/>
  <c r="EV81" i="1"/>
  <c r="EV21" i="1"/>
  <c r="EV30" i="1"/>
  <c r="EV19" i="1"/>
  <c r="EV5" i="1"/>
  <c r="EV58" i="1"/>
  <c r="EV73" i="1"/>
  <c r="EV89" i="1"/>
  <c r="EV40" i="1"/>
  <c r="EV20" i="1"/>
  <c r="EV10" i="1"/>
  <c r="EV22" i="1"/>
  <c r="EV90" i="1"/>
  <c r="EV63" i="1"/>
  <c r="EV91" i="1"/>
  <c r="EV59" i="1"/>
  <c r="EV23" i="1"/>
  <c r="EV41" i="1"/>
  <c r="EV27" i="1"/>
  <c r="EV96" i="1"/>
  <c r="EV92" i="1"/>
  <c r="EV93" i="1"/>
  <c r="EV94" i="1"/>
  <c r="EV17" i="1"/>
  <c r="EV66" i="1"/>
  <c r="EV79" i="1"/>
  <c r="EV35" i="1"/>
  <c r="EV44" i="1"/>
  <c r="EV74" i="1"/>
  <c r="EV15" i="1"/>
  <c r="EV16" i="1"/>
  <c r="EV8" i="1"/>
  <c r="EV9" i="1"/>
  <c r="EV62" i="1"/>
  <c r="EV98" i="1"/>
  <c r="EV13" i="1"/>
  <c r="EV18" i="1"/>
  <c r="EV26" i="1"/>
  <c r="EV25" i="1"/>
  <c r="EV99" i="1"/>
  <c r="EV49" i="1"/>
  <c r="EV60" i="1"/>
  <c r="EV61" i="1"/>
  <c r="EV64" i="1"/>
  <c r="EV82" i="1"/>
  <c r="EV4" i="1"/>
  <c r="EV6" i="1"/>
  <c r="EV7" i="1"/>
  <c r="EV24" i="1"/>
  <c r="EV47" i="1"/>
  <c r="EV104" i="1"/>
  <c r="EV3" i="1"/>
  <c r="EV39" i="1"/>
  <c r="EV37" i="1"/>
  <c r="EV100" i="1"/>
  <c r="EV36" i="1"/>
  <c r="EV38" i="1"/>
  <c r="EP50" i="1"/>
  <c r="EP48" i="1"/>
  <c r="EP102" i="1"/>
  <c r="EP12" i="1"/>
  <c r="EP32" i="1"/>
  <c r="EP31" i="1"/>
  <c r="EP71" i="1"/>
  <c r="EP51" i="1"/>
  <c r="EP28" i="1"/>
  <c r="EP56" i="1"/>
  <c r="EP53" i="1"/>
  <c r="EP75" i="1"/>
  <c r="EP103" i="1"/>
  <c r="EP65" i="1"/>
  <c r="EP72" i="1"/>
  <c r="EP80" i="1"/>
  <c r="EP52" i="1"/>
  <c r="EP85" i="1"/>
  <c r="EP69" i="1"/>
  <c r="EP70" i="1"/>
  <c r="EP101" i="1"/>
  <c r="EP86" i="1"/>
  <c r="EP87" i="1"/>
  <c r="EP88" i="1"/>
  <c r="EP54" i="1"/>
  <c r="EP34" i="1"/>
  <c r="EP78" i="1"/>
  <c r="EP68" i="1"/>
  <c r="EP2" i="1"/>
  <c r="EP11" i="1"/>
  <c r="EP83" i="1"/>
  <c r="EP42" i="1"/>
  <c r="EP29" i="1"/>
  <c r="EP43" i="1"/>
  <c r="EP97" i="1"/>
  <c r="EP84" i="1"/>
  <c r="EP14" i="1"/>
  <c r="EP67" i="1"/>
  <c r="EP55" i="1"/>
  <c r="EP57" i="1"/>
  <c r="EP76" i="1"/>
  <c r="EP77" i="1"/>
  <c r="EP81" i="1"/>
  <c r="EP21" i="1"/>
  <c r="EP30" i="1"/>
  <c r="EP19" i="1"/>
  <c r="EP5" i="1"/>
  <c r="EP58" i="1"/>
  <c r="EP73" i="1"/>
  <c r="EP89" i="1"/>
  <c r="EP40" i="1"/>
  <c r="EP20" i="1"/>
  <c r="EP10" i="1"/>
  <c r="EP22" i="1"/>
  <c r="EP90" i="1"/>
  <c r="EP63" i="1"/>
  <c r="EP91" i="1"/>
  <c r="EP59" i="1"/>
  <c r="EP23" i="1"/>
  <c r="EP41" i="1"/>
  <c r="EP27" i="1"/>
  <c r="EP96" i="1"/>
  <c r="EP92" i="1"/>
  <c r="EP93" i="1"/>
  <c r="EP94" i="1"/>
  <c r="EP17" i="1"/>
  <c r="EP66" i="1"/>
  <c r="EP79" i="1"/>
  <c r="EP35" i="1"/>
  <c r="EP44" i="1"/>
  <c r="EP74" i="1"/>
  <c r="EP15" i="1"/>
  <c r="EP16" i="1"/>
  <c r="EP8" i="1"/>
  <c r="EP9" i="1"/>
  <c r="EP62" i="1"/>
  <c r="EP46" i="1"/>
  <c r="EP33" i="1"/>
  <c r="EP98" i="1"/>
  <c r="EP13" i="1"/>
  <c r="EP18" i="1"/>
  <c r="EP26" i="1"/>
  <c r="EP25" i="1"/>
  <c r="EP99" i="1"/>
  <c r="EP49" i="1"/>
  <c r="EP60" i="1"/>
  <c r="EP61" i="1"/>
  <c r="EP64" i="1"/>
  <c r="EP82" i="1"/>
  <c r="EP4" i="1"/>
  <c r="EP6" i="1"/>
  <c r="EP7" i="1"/>
  <c r="EP24" i="1"/>
  <c r="EP47" i="1"/>
  <c r="EP104" i="1"/>
  <c r="EP3" i="1"/>
  <c r="EP39" i="1"/>
  <c r="EP37" i="1"/>
  <c r="EP100" i="1"/>
  <c r="EP36" i="1"/>
  <c r="EM50" i="1"/>
  <c r="EM48" i="1"/>
  <c r="EM102" i="1"/>
  <c r="EM12" i="1"/>
  <c r="EM32" i="1"/>
  <c r="EM31" i="1"/>
  <c r="EM71" i="1"/>
  <c r="EM51" i="1"/>
  <c r="EM28" i="1"/>
  <c r="EM56" i="1"/>
  <c r="EM53" i="1"/>
  <c r="EM75" i="1"/>
  <c r="EM103" i="1"/>
  <c r="EM65" i="1"/>
  <c r="EM72" i="1"/>
  <c r="EM80" i="1"/>
  <c r="EM52" i="1"/>
  <c r="EM85" i="1"/>
  <c r="EM69" i="1"/>
  <c r="EM70" i="1"/>
  <c r="EM101" i="1"/>
  <c r="EM86" i="1"/>
  <c r="EM87" i="1"/>
  <c r="EM88" i="1"/>
  <c r="EM54" i="1"/>
  <c r="EM34" i="1"/>
  <c r="EM78" i="1"/>
  <c r="EM68" i="1"/>
  <c r="EM2" i="1"/>
  <c r="EM11" i="1"/>
  <c r="EM83" i="1"/>
  <c r="EM42" i="1"/>
  <c r="EM29" i="1"/>
  <c r="EM43" i="1"/>
  <c r="EM97" i="1"/>
  <c r="EM84" i="1"/>
  <c r="EM14" i="1"/>
  <c r="EM67" i="1"/>
  <c r="EM55" i="1"/>
  <c r="EM57" i="1"/>
  <c r="EM76" i="1"/>
  <c r="EM77" i="1"/>
  <c r="EM81" i="1"/>
  <c r="EM21" i="1"/>
  <c r="EM30" i="1"/>
  <c r="EM19" i="1"/>
  <c r="EM5" i="1"/>
  <c r="EM58" i="1"/>
  <c r="EM73" i="1"/>
  <c r="EM89" i="1"/>
  <c r="EM40" i="1"/>
  <c r="EM20" i="1"/>
  <c r="EM10" i="1"/>
  <c r="EM22" i="1"/>
  <c r="EM90" i="1"/>
  <c r="EM63" i="1"/>
  <c r="EM91" i="1"/>
  <c r="EM59" i="1"/>
  <c r="EM23" i="1"/>
  <c r="EM41" i="1"/>
  <c r="EM27" i="1"/>
  <c r="EM96" i="1"/>
  <c r="EM92" i="1"/>
  <c r="EM93" i="1"/>
  <c r="EM94" i="1"/>
  <c r="EM17" i="1"/>
  <c r="EM66" i="1"/>
  <c r="EM79" i="1"/>
  <c r="EM35" i="1"/>
  <c r="EM44" i="1"/>
  <c r="EM74" i="1"/>
  <c r="EM15" i="1"/>
  <c r="EM16" i="1"/>
  <c r="EM8" i="1"/>
  <c r="EM9" i="1"/>
  <c r="EM62" i="1"/>
  <c r="EM46" i="1"/>
  <c r="EM98" i="1"/>
  <c r="EM13" i="1"/>
  <c r="EM18" i="1"/>
  <c r="EM26" i="1"/>
  <c r="EM25" i="1"/>
  <c r="EM99" i="1"/>
  <c r="EM49" i="1"/>
  <c r="EM60" i="1"/>
  <c r="EM61" i="1"/>
  <c r="EM64" i="1"/>
  <c r="EM82" i="1"/>
  <c r="EM4" i="1"/>
  <c r="EM6" i="1"/>
  <c r="EM7" i="1"/>
  <c r="EM24" i="1"/>
  <c r="EM47" i="1"/>
  <c r="EM104" i="1"/>
  <c r="EM3" i="1"/>
  <c r="EM39" i="1"/>
  <c r="EM37" i="1"/>
  <c r="EM100" i="1"/>
  <c r="EM36" i="1"/>
  <c r="EI48" i="1"/>
  <c r="EI102" i="1"/>
  <c r="EI12" i="1"/>
  <c r="EI32" i="1"/>
  <c r="EI31" i="1"/>
  <c r="EI71" i="1"/>
  <c r="EI51" i="1"/>
  <c r="EI28" i="1"/>
  <c r="EI56" i="1"/>
  <c r="EI53" i="1"/>
  <c r="EI75" i="1"/>
  <c r="EI103" i="1"/>
  <c r="EI65" i="1"/>
  <c r="EI72" i="1"/>
  <c r="EI80" i="1"/>
  <c r="EI52" i="1"/>
  <c r="EI85" i="1"/>
  <c r="EI69" i="1"/>
  <c r="EI70" i="1"/>
  <c r="EI101" i="1"/>
  <c r="EI86" i="1"/>
  <c r="EI87" i="1"/>
  <c r="EI88" i="1"/>
  <c r="EI54" i="1"/>
  <c r="EI34" i="1"/>
  <c r="EI78" i="1"/>
  <c r="EI68" i="1"/>
  <c r="EI2" i="1"/>
  <c r="EI11" i="1"/>
  <c r="EI83" i="1"/>
  <c r="EI42" i="1"/>
  <c r="EI29" i="1"/>
  <c r="EI43" i="1"/>
  <c r="EI97" i="1"/>
  <c r="EI84" i="1"/>
  <c r="EI14" i="1"/>
  <c r="EI67" i="1"/>
  <c r="EI55" i="1"/>
  <c r="EI57" i="1"/>
  <c r="EI76" i="1"/>
  <c r="EI77" i="1"/>
  <c r="EI81" i="1"/>
  <c r="EI21" i="1"/>
  <c r="EI30" i="1"/>
  <c r="EI19" i="1"/>
  <c r="EI5" i="1"/>
  <c r="EI58" i="1"/>
  <c r="EI73" i="1"/>
  <c r="EI89" i="1"/>
  <c r="EI40" i="1"/>
  <c r="EI20" i="1"/>
  <c r="EI10" i="1"/>
  <c r="EI22" i="1"/>
  <c r="EI90" i="1"/>
  <c r="EI63" i="1"/>
  <c r="EI91" i="1"/>
  <c r="EI59" i="1"/>
  <c r="EI23" i="1"/>
  <c r="EI41" i="1"/>
  <c r="EI27" i="1"/>
  <c r="EI96" i="1"/>
  <c r="EI92" i="1"/>
  <c r="EI93" i="1"/>
  <c r="EI94" i="1"/>
  <c r="EI17" i="1"/>
  <c r="EI66" i="1"/>
  <c r="EI79" i="1"/>
  <c r="EI35" i="1"/>
  <c r="EI44" i="1"/>
  <c r="EI74" i="1"/>
  <c r="EI15" i="1"/>
  <c r="EI16" i="1"/>
  <c r="EI8" i="1"/>
  <c r="EI9" i="1"/>
  <c r="EI62" i="1"/>
  <c r="EI46" i="1"/>
  <c r="EI98" i="1"/>
  <c r="EI13" i="1"/>
  <c r="EI18" i="1"/>
  <c r="EI26" i="1"/>
  <c r="EI25" i="1"/>
  <c r="EI99" i="1"/>
  <c r="EI49" i="1"/>
  <c r="EI60" i="1"/>
  <c r="EI61" i="1"/>
  <c r="EI64" i="1"/>
  <c r="EI82" i="1"/>
  <c r="EI4" i="1"/>
  <c r="EI6" i="1"/>
  <c r="EI7" i="1"/>
  <c r="EI24" i="1"/>
  <c r="EI47" i="1"/>
  <c r="EI104" i="1"/>
  <c r="EI3" i="1"/>
  <c r="EI39" i="1"/>
  <c r="EI37" i="1"/>
  <c r="EI100" i="1"/>
  <c r="EI36" i="1"/>
  <c r="EF50" i="1"/>
  <c r="EF48" i="1"/>
  <c r="EF102" i="1"/>
  <c r="EF12" i="1"/>
  <c r="EF32" i="1"/>
  <c r="EF31" i="1"/>
  <c r="EF71" i="1"/>
  <c r="EF51" i="1"/>
  <c r="EF28" i="1"/>
  <c r="EF56" i="1"/>
  <c r="EF53" i="1"/>
  <c r="EF75" i="1"/>
  <c r="EF103" i="1"/>
  <c r="EF65" i="1"/>
  <c r="EF72" i="1"/>
  <c r="EF80" i="1"/>
  <c r="EF52" i="1"/>
  <c r="EF85" i="1"/>
  <c r="EF69" i="1"/>
  <c r="EF70" i="1"/>
  <c r="EF101" i="1"/>
  <c r="EF86" i="1"/>
  <c r="EF87" i="1"/>
  <c r="EF88" i="1"/>
  <c r="EF54" i="1"/>
  <c r="EF34" i="1"/>
  <c r="EF78" i="1"/>
  <c r="EF68" i="1"/>
  <c r="EF2" i="1"/>
  <c r="EF11" i="1"/>
  <c r="EF83" i="1"/>
  <c r="EF42" i="1"/>
  <c r="EF29" i="1"/>
  <c r="EF43" i="1"/>
  <c r="EF97" i="1"/>
  <c r="EF84" i="1"/>
  <c r="EF14" i="1"/>
  <c r="EF67" i="1"/>
  <c r="EF55" i="1"/>
  <c r="EF57" i="1"/>
  <c r="EF76" i="1"/>
  <c r="EF77" i="1"/>
  <c r="EF81" i="1"/>
  <c r="EF21" i="1"/>
  <c r="EF30" i="1"/>
  <c r="EF19" i="1"/>
  <c r="EF5" i="1"/>
  <c r="EF58" i="1"/>
  <c r="EF73" i="1"/>
  <c r="EF89" i="1"/>
  <c r="EF40" i="1"/>
  <c r="EF20" i="1"/>
  <c r="EF10" i="1"/>
  <c r="EF22" i="1"/>
  <c r="EF90" i="1"/>
  <c r="EF63" i="1"/>
  <c r="EF91" i="1"/>
  <c r="EF59" i="1"/>
  <c r="EF23" i="1"/>
  <c r="EF41" i="1"/>
  <c r="EF27" i="1"/>
  <c r="EF96" i="1"/>
  <c r="EF92" i="1"/>
  <c r="EF93" i="1"/>
  <c r="EF94" i="1"/>
  <c r="EF17" i="1"/>
  <c r="EF66" i="1"/>
  <c r="EF79" i="1"/>
  <c r="EF35" i="1"/>
  <c r="EF44" i="1"/>
  <c r="EF74" i="1"/>
  <c r="EF15" i="1"/>
  <c r="EF16" i="1"/>
  <c r="EF8" i="1"/>
  <c r="EF9" i="1"/>
  <c r="EF62" i="1"/>
  <c r="EF46" i="1"/>
  <c r="EF98" i="1"/>
  <c r="EF13" i="1"/>
  <c r="EF18" i="1"/>
  <c r="EF26" i="1"/>
  <c r="EF25" i="1"/>
  <c r="EF99" i="1"/>
  <c r="EF49" i="1"/>
  <c r="EF60" i="1"/>
  <c r="EF61" i="1"/>
  <c r="EF64" i="1"/>
  <c r="EF82" i="1"/>
  <c r="EF4" i="1"/>
  <c r="EF6" i="1"/>
  <c r="EF7" i="1"/>
  <c r="EF24" i="1"/>
  <c r="EF47" i="1"/>
  <c r="EF104" i="1"/>
  <c r="EF3" i="1"/>
  <c r="EF39" i="1"/>
  <c r="EF37" i="1"/>
  <c r="EF100" i="1"/>
  <c r="EF36" i="1"/>
  <c r="EC50" i="1"/>
  <c r="EC48" i="1"/>
  <c r="EC102" i="1"/>
  <c r="EC12" i="1"/>
  <c r="EC32" i="1"/>
  <c r="EC31" i="1"/>
  <c r="EC71" i="1"/>
  <c r="EC51" i="1"/>
  <c r="EC28" i="1"/>
  <c r="EC56" i="1"/>
  <c r="EC53" i="1"/>
  <c r="EC75" i="1"/>
  <c r="EC103" i="1"/>
  <c r="EC65" i="1"/>
  <c r="EC72" i="1"/>
  <c r="EC80" i="1"/>
  <c r="EC52" i="1"/>
  <c r="EC85" i="1"/>
  <c r="EC69" i="1"/>
  <c r="EC70" i="1"/>
  <c r="EC101" i="1"/>
  <c r="EC86" i="1"/>
  <c r="EC87" i="1"/>
  <c r="EC88" i="1"/>
  <c r="EC54" i="1"/>
  <c r="EC34" i="1"/>
  <c r="EC78" i="1"/>
  <c r="EC68" i="1"/>
  <c r="EC2" i="1"/>
  <c r="EC11" i="1"/>
  <c r="EC83" i="1"/>
  <c r="EC42" i="1"/>
  <c r="EC29" i="1"/>
  <c r="EC43" i="1"/>
  <c r="EC97" i="1"/>
  <c r="EC84" i="1"/>
  <c r="EC14" i="1"/>
  <c r="EC67" i="1"/>
  <c r="EC55" i="1"/>
  <c r="EC57" i="1"/>
  <c r="EC76" i="1"/>
  <c r="EC77" i="1"/>
  <c r="EC81" i="1"/>
  <c r="EC21" i="1"/>
  <c r="EC30" i="1"/>
  <c r="EC19" i="1"/>
  <c r="EC5" i="1"/>
  <c r="EC58" i="1"/>
  <c r="EC73" i="1"/>
  <c r="EC89" i="1"/>
  <c r="EC40" i="1"/>
  <c r="EC20" i="1"/>
  <c r="EC10" i="1"/>
  <c r="EC22" i="1"/>
  <c r="EC90" i="1"/>
  <c r="EC63" i="1"/>
  <c r="EC91" i="1"/>
  <c r="EC59" i="1"/>
  <c r="EC23" i="1"/>
  <c r="EC41" i="1"/>
  <c r="EC27" i="1"/>
  <c r="EC96" i="1"/>
  <c r="EC92" i="1"/>
  <c r="EC93" i="1"/>
  <c r="EC94" i="1"/>
  <c r="EC17" i="1"/>
  <c r="EC66" i="1"/>
  <c r="EC79" i="1"/>
  <c r="EC35" i="1"/>
  <c r="EC44" i="1"/>
  <c r="EC74" i="1"/>
  <c r="EC15" i="1"/>
  <c r="EC16" i="1"/>
  <c r="EC8" i="1"/>
  <c r="EC9" i="1"/>
  <c r="EC62" i="1"/>
  <c r="EC46" i="1"/>
  <c r="EC98" i="1"/>
  <c r="EC13" i="1"/>
  <c r="EC18" i="1"/>
  <c r="EC26" i="1"/>
  <c r="EC25" i="1"/>
  <c r="EC99" i="1"/>
  <c r="EC49" i="1"/>
  <c r="EC60" i="1"/>
  <c r="EC61" i="1"/>
  <c r="EC64" i="1"/>
  <c r="EC82" i="1"/>
  <c r="EC4" i="1"/>
  <c r="EC6" i="1"/>
  <c r="EC7" i="1"/>
  <c r="EC24" i="1"/>
  <c r="EC47" i="1"/>
  <c r="EC104" i="1"/>
  <c r="EC3" i="1"/>
  <c r="EC39" i="1"/>
  <c r="EC37" i="1"/>
  <c r="EC100" i="1"/>
  <c r="EC36" i="1"/>
  <c r="DZ50" i="1"/>
  <c r="DZ48" i="1"/>
  <c r="DZ102" i="1"/>
  <c r="DZ12" i="1"/>
  <c r="DZ32" i="1"/>
  <c r="DZ31" i="1"/>
  <c r="DZ71" i="1"/>
  <c r="DZ51" i="1"/>
  <c r="DZ28" i="1"/>
  <c r="DZ56" i="1"/>
  <c r="DZ53" i="1"/>
  <c r="DZ75" i="1"/>
  <c r="DZ103" i="1"/>
  <c r="DZ65" i="1"/>
  <c r="DZ72" i="1"/>
  <c r="DZ80" i="1"/>
  <c r="DZ52" i="1"/>
  <c r="DZ85" i="1"/>
  <c r="DZ69" i="1"/>
  <c r="DZ70" i="1"/>
  <c r="DZ101" i="1"/>
  <c r="DZ86" i="1"/>
  <c r="DZ87" i="1"/>
  <c r="DZ88" i="1"/>
  <c r="DZ54" i="1"/>
  <c r="DZ34" i="1"/>
  <c r="DZ78" i="1"/>
  <c r="DZ68" i="1"/>
  <c r="DZ2" i="1"/>
  <c r="DZ11" i="1"/>
  <c r="DZ83" i="1"/>
  <c r="DZ42" i="1"/>
  <c r="DZ29" i="1"/>
  <c r="DZ43" i="1"/>
  <c r="DZ97" i="1"/>
  <c r="DZ84" i="1"/>
  <c r="DZ14" i="1"/>
  <c r="DZ67" i="1"/>
  <c r="DZ55" i="1"/>
  <c r="DZ57" i="1"/>
  <c r="DZ76" i="1"/>
  <c r="DZ77" i="1"/>
  <c r="DZ81" i="1"/>
  <c r="DZ21" i="1"/>
  <c r="DZ30" i="1"/>
  <c r="DZ19" i="1"/>
  <c r="DZ5" i="1"/>
  <c r="DZ58" i="1"/>
  <c r="DZ73" i="1"/>
  <c r="DZ89" i="1"/>
  <c r="DZ40" i="1"/>
  <c r="DZ20" i="1"/>
  <c r="DZ10" i="1"/>
  <c r="DZ22" i="1"/>
  <c r="DZ90" i="1"/>
  <c r="DZ63" i="1"/>
  <c r="DZ91" i="1"/>
  <c r="DZ59" i="1"/>
  <c r="DZ23" i="1"/>
  <c r="DZ41" i="1"/>
  <c r="DZ27" i="1"/>
  <c r="DZ96" i="1"/>
  <c r="DZ92" i="1"/>
  <c r="DZ93" i="1"/>
  <c r="DZ94" i="1"/>
  <c r="DZ17" i="1"/>
  <c r="DZ66" i="1"/>
  <c r="DZ79" i="1"/>
  <c r="DZ35" i="1"/>
  <c r="DZ44" i="1"/>
  <c r="DZ74" i="1"/>
  <c r="DZ15" i="1"/>
  <c r="DZ16" i="1"/>
  <c r="DZ8" i="1"/>
  <c r="DZ9" i="1"/>
  <c r="DZ62" i="1"/>
  <c r="DZ46" i="1"/>
  <c r="DZ98" i="1"/>
  <c r="DZ13" i="1"/>
  <c r="DZ18" i="1"/>
  <c r="DZ26" i="1"/>
  <c r="DZ25" i="1"/>
  <c r="DZ99" i="1"/>
  <c r="DZ49" i="1"/>
  <c r="DZ60" i="1"/>
  <c r="DZ61" i="1"/>
  <c r="DZ64" i="1"/>
  <c r="DZ82" i="1"/>
  <c r="DZ4" i="1"/>
  <c r="DZ6" i="1"/>
  <c r="DZ7" i="1"/>
  <c r="DZ24" i="1"/>
  <c r="DZ47" i="1"/>
  <c r="DZ104" i="1"/>
  <c r="DZ3" i="1"/>
  <c r="DZ39" i="1"/>
  <c r="DZ37" i="1"/>
  <c r="DZ100" i="1"/>
  <c r="DZ36" i="1"/>
  <c r="DW69" i="1"/>
  <c r="DW70" i="1"/>
  <c r="DW101" i="1"/>
  <c r="DW86" i="1"/>
  <c r="DW87" i="1"/>
  <c r="DW88" i="1"/>
  <c r="DW54" i="1"/>
  <c r="DW78" i="1"/>
  <c r="DW68" i="1"/>
  <c r="DW2" i="1"/>
  <c r="DW11" i="1"/>
  <c r="DW83" i="1"/>
  <c r="DW42" i="1"/>
  <c r="DW43" i="1"/>
  <c r="DW97" i="1"/>
  <c r="DW84" i="1"/>
  <c r="DW14" i="1"/>
  <c r="DW67" i="1"/>
  <c r="DW55" i="1"/>
  <c r="DW57" i="1"/>
  <c r="DW76" i="1"/>
  <c r="DW77" i="1"/>
  <c r="DW81" i="1"/>
  <c r="DW19" i="1"/>
  <c r="DW5" i="1"/>
  <c r="DW58" i="1"/>
  <c r="DW73" i="1"/>
  <c r="DW89" i="1"/>
  <c r="DW40" i="1"/>
  <c r="DW20" i="1"/>
  <c r="DW10" i="1"/>
  <c r="DW22" i="1"/>
  <c r="DW90" i="1"/>
  <c r="DW63" i="1"/>
  <c r="DW91" i="1"/>
  <c r="DW59" i="1"/>
  <c r="DW41" i="1"/>
  <c r="DW27" i="1"/>
  <c r="DW96" i="1"/>
  <c r="DW92" i="1"/>
  <c r="DW93" i="1"/>
  <c r="DW94" i="1"/>
  <c r="DW17" i="1"/>
  <c r="DW66" i="1"/>
  <c r="DW79" i="1"/>
  <c r="DW44" i="1"/>
  <c r="DW74" i="1"/>
  <c r="DW15" i="1"/>
  <c r="DW16" i="1"/>
  <c r="DW8" i="1"/>
  <c r="DW9" i="1"/>
  <c r="DW62" i="1"/>
  <c r="DW46" i="1"/>
  <c r="DW98" i="1"/>
  <c r="DW13" i="1"/>
  <c r="DW99" i="1"/>
  <c r="DW49" i="1"/>
  <c r="DW60" i="1"/>
  <c r="DW61" i="1"/>
  <c r="DW64" i="1"/>
  <c r="DW82" i="1"/>
  <c r="DW4" i="1"/>
  <c r="DW6" i="1"/>
  <c r="DW7" i="1"/>
  <c r="DW24" i="1"/>
  <c r="DW47" i="1"/>
  <c r="DW104" i="1"/>
  <c r="DW3" i="1"/>
  <c r="DW39" i="1"/>
  <c r="DW37" i="1"/>
  <c r="DW100" i="1"/>
  <c r="DW36" i="1"/>
  <c r="ES48" i="1"/>
  <c r="ES102" i="1"/>
  <c r="ES12" i="1"/>
  <c r="ES32" i="1"/>
  <c r="ES31" i="1"/>
  <c r="ES71" i="1"/>
  <c r="ES51" i="1"/>
  <c r="ES28" i="1"/>
  <c r="ES56" i="1"/>
  <c r="ES53" i="1"/>
  <c r="ES75" i="1"/>
  <c r="ES103" i="1"/>
  <c r="ES65" i="1"/>
  <c r="ES72" i="1"/>
  <c r="ES80" i="1"/>
  <c r="ES52" i="1"/>
  <c r="ES85" i="1"/>
  <c r="ES70" i="1"/>
  <c r="ES101" i="1"/>
  <c r="ES86" i="1"/>
  <c r="ES87" i="1"/>
  <c r="ES88" i="1"/>
  <c r="ES54" i="1"/>
  <c r="ES34" i="1"/>
  <c r="ES78" i="1"/>
  <c r="ES68" i="1"/>
  <c r="ES2" i="1"/>
  <c r="ES11" i="1"/>
  <c r="ES83" i="1"/>
  <c r="ES42" i="1"/>
  <c r="ES29" i="1"/>
  <c r="ES43" i="1"/>
  <c r="ES97" i="1"/>
  <c r="ES84" i="1"/>
  <c r="ES14" i="1"/>
  <c r="ES67" i="1"/>
  <c r="ES55" i="1"/>
  <c r="ES76" i="1"/>
  <c r="ES77" i="1"/>
  <c r="ES81" i="1"/>
  <c r="ES21" i="1"/>
  <c r="ES30" i="1"/>
  <c r="ES19" i="1"/>
  <c r="ES5" i="1"/>
  <c r="ES58" i="1"/>
  <c r="ES73" i="1"/>
  <c r="ES89" i="1"/>
  <c r="ES40" i="1"/>
  <c r="ES20" i="1"/>
  <c r="ES10" i="1"/>
  <c r="ES22" i="1"/>
  <c r="ES90" i="1"/>
  <c r="ES63" i="1"/>
  <c r="ES91" i="1"/>
  <c r="ES59" i="1"/>
  <c r="ES23" i="1"/>
  <c r="ES41" i="1"/>
  <c r="ES27" i="1"/>
  <c r="ES96" i="1"/>
  <c r="ES92" i="1"/>
  <c r="ES93" i="1"/>
  <c r="ES94" i="1"/>
  <c r="ES17" i="1"/>
  <c r="ES66" i="1"/>
  <c r="ES79" i="1"/>
  <c r="ES35" i="1"/>
  <c r="ES44" i="1"/>
  <c r="ES74" i="1"/>
  <c r="ES15" i="1"/>
  <c r="ES16" i="1"/>
  <c r="ES8" i="1"/>
  <c r="ES9" i="1"/>
  <c r="ES62" i="1"/>
  <c r="ES46" i="1"/>
  <c r="ES98" i="1"/>
  <c r="ES13" i="1"/>
  <c r="ES18" i="1"/>
  <c r="ES26" i="1"/>
  <c r="ES25" i="1"/>
  <c r="ES99" i="1"/>
  <c r="ES49" i="1"/>
  <c r="ES60" i="1"/>
  <c r="ES61" i="1"/>
  <c r="ES64" i="1"/>
  <c r="ES82" i="1"/>
  <c r="ES4" i="1"/>
  <c r="ES6" i="1"/>
  <c r="ES7" i="1"/>
  <c r="ES24" i="1"/>
  <c r="ES47" i="1"/>
  <c r="ES104" i="1"/>
  <c r="ES3" i="1"/>
  <c r="ES39" i="1"/>
  <c r="ES37" i="1"/>
  <c r="ES100" i="1"/>
  <c r="ES36" i="1"/>
  <c r="ES38" i="1"/>
  <c r="ES50" i="1"/>
  <c r="FX52" i="1" l="1"/>
  <c r="FX103" i="1"/>
  <c r="FX28" i="1"/>
  <c r="FX32" i="1"/>
  <c r="FX50" i="1"/>
  <c r="FX100" i="1"/>
  <c r="FX104" i="1"/>
  <c r="FX6" i="1"/>
  <c r="FX61" i="1"/>
  <c r="FX25" i="1"/>
  <c r="FX98" i="1"/>
  <c r="FX9" i="1"/>
  <c r="FX74" i="1"/>
  <c r="FX66" i="1"/>
  <c r="FX92" i="1"/>
  <c r="FX23" i="1"/>
  <c r="FX90" i="1"/>
  <c r="FX5" i="1"/>
  <c r="FX81" i="1"/>
  <c r="FX55" i="1"/>
  <c r="FX97" i="1"/>
  <c r="FX83" i="1"/>
  <c r="FX78" i="1"/>
  <c r="FX87" i="1"/>
  <c r="FX37" i="1"/>
  <c r="FX4" i="1"/>
  <c r="FX60" i="1"/>
  <c r="FX26" i="1"/>
  <c r="FX33" i="1"/>
  <c r="FX8" i="1"/>
  <c r="FX17" i="1"/>
  <c r="FX96" i="1"/>
  <c r="FX59" i="1"/>
  <c r="FX22" i="1"/>
  <c r="FX89" i="1"/>
  <c r="FX19" i="1"/>
  <c r="FX77" i="1"/>
  <c r="FX67" i="1"/>
  <c r="FX43" i="1"/>
  <c r="FX11" i="1"/>
  <c r="FX34" i="1"/>
  <c r="FX86" i="1"/>
  <c r="FX36" i="1"/>
  <c r="FX3" i="1"/>
  <c r="FX39" i="1"/>
  <c r="FX47" i="1"/>
  <c r="FX44" i="1"/>
  <c r="FX40" i="1"/>
  <c r="FX69" i="1"/>
  <c r="FX45" i="1"/>
  <c r="FX12" i="1"/>
  <c r="FX75" i="1"/>
  <c r="FX49" i="1"/>
  <c r="FX94" i="1"/>
  <c r="FX91" i="1"/>
  <c r="FX73" i="1"/>
  <c r="FX76" i="1"/>
  <c r="FX29" i="1"/>
  <c r="FX101" i="1"/>
  <c r="FX53" i="1"/>
  <c r="FX80" i="1"/>
  <c r="FX51" i="1"/>
  <c r="FX24" i="1"/>
  <c r="FX82" i="1"/>
  <c r="FX18" i="1"/>
  <c r="FX46" i="1"/>
  <c r="FX16" i="1"/>
  <c r="FX35" i="1"/>
  <c r="FX27" i="1"/>
  <c r="FX10" i="1"/>
  <c r="FX30" i="1"/>
  <c r="FX14" i="1"/>
  <c r="FX2" i="1"/>
  <c r="FX54" i="1"/>
  <c r="FX72" i="1"/>
  <c r="FX71" i="1"/>
  <c r="FX102" i="1"/>
  <c r="FX7" i="1"/>
  <c r="FX64" i="1"/>
  <c r="FX99" i="1"/>
  <c r="FX13" i="1"/>
  <c r="FX62" i="1"/>
  <c r="FX15" i="1"/>
  <c r="FX79" i="1"/>
  <c r="FX93" i="1"/>
  <c r="FX41" i="1"/>
  <c r="FX63" i="1"/>
  <c r="FX20" i="1"/>
  <c r="FX58" i="1"/>
  <c r="FX21" i="1"/>
  <c r="FX57" i="1"/>
  <c r="FX84" i="1"/>
  <c r="FX42" i="1"/>
  <c r="FX68" i="1"/>
  <c r="FX88" i="1"/>
  <c r="FX70" i="1"/>
  <c r="FX85" i="1"/>
  <c r="FX65" i="1"/>
  <c r="FX56" i="1"/>
  <c r="FX31" i="1"/>
  <c r="FX48" i="1"/>
  <c r="EP38" i="1"/>
  <c r="EM38" i="1"/>
  <c r="EI38" i="1"/>
  <c r="EF38" i="1"/>
  <c r="EC38" i="1"/>
  <c r="DZ38" i="1"/>
  <c r="DW38" i="1"/>
  <c r="FX38" i="1" l="1"/>
  <c r="G153" i="1"/>
  <c r="W104" i="1" l="1"/>
  <c r="V104" i="1"/>
  <c r="JB79" i="1"/>
  <c r="AN23" i="1" l="1"/>
  <c r="GU74" i="1" l="1"/>
  <c r="GF74" i="1" s="1"/>
  <c r="GU73" i="1"/>
  <c r="GU72" i="1"/>
  <c r="GU71" i="1"/>
  <c r="GF71" i="1" s="1"/>
  <c r="AD113" i="1" l="1"/>
  <c r="CW39" i="1" l="1"/>
  <c r="CJ49" i="1" l="1"/>
  <c r="FP49" i="1"/>
  <c r="CG100" i="1"/>
  <c r="CG102" i="1"/>
  <c r="CG101" i="1"/>
  <c r="CG99" i="1"/>
  <c r="CG103" i="1"/>
  <c r="CG98" i="1"/>
  <c r="CG97" i="1"/>
  <c r="CG96" i="1"/>
  <c r="CG91" i="1"/>
  <c r="CG89" i="1"/>
  <c r="CG88" i="1"/>
  <c r="CG87" i="1"/>
  <c r="CG86" i="1"/>
  <c r="CG85" i="1"/>
  <c r="CG93" i="1"/>
  <c r="CG92" i="1"/>
  <c r="CG84" i="1"/>
  <c r="CG83" i="1"/>
  <c r="CG82" i="1"/>
  <c r="CG79" i="1"/>
  <c r="CG78" i="1"/>
  <c r="CG80" i="1"/>
  <c r="CG73" i="1"/>
  <c r="CG72" i="1"/>
  <c r="CG71" i="1"/>
  <c r="CG77" i="1"/>
  <c r="CG76" i="1"/>
  <c r="CG74" i="1"/>
  <c r="CG65" i="1"/>
  <c r="CG75" i="1"/>
  <c r="CG81" i="1"/>
  <c r="CG68" i="1"/>
  <c r="CG66" i="1"/>
  <c r="CG62" i="1"/>
  <c r="CG67" i="1"/>
  <c r="CG61" i="1"/>
  <c r="CG64" i="1"/>
  <c r="CG63" i="1"/>
  <c r="CG58" i="1"/>
  <c r="CG59" i="1"/>
  <c r="CG56" i="1"/>
  <c r="CG53" i="1"/>
  <c r="CG54" i="1"/>
  <c r="CG55" i="1"/>
  <c r="CG50" i="1"/>
  <c r="CG51" i="1"/>
  <c r="CG52" i="1"/>
  <c r="CG57" i="1"/>
  <c r="CG49" i="1"/>
  <c r="CG70" i="1"/>
  <c r="CG69" i="1"/>
  <c r="CG60" i="1"/>
  <c r="CG46" i="1"/>
  <c r="CG41" i="1"/>
  <c r="CG40" i="1"/>
  <c r="CG48" i="1"/>
  <c r="CG45" i="1"/>
  <c r="CG42" i="1"/>
  <c r="CG44" i="1"/>
  <c r="CG43" i="1"/>
  <c r="CG47" i="1"/>
  <c r="CG39" i="1"/>
  <c r="CG38" i="1"/>
  <c r="CG36" i="1"/>
  <c r="CG37" i="1"/>
  <c r="CG30" i="1"/>
  <c r="CG32" i="1"/>
  <c r="CG31" i="1"/>
  <c r="CG24" i="1"/>
  <c r="CG21" i="1"/>
  <c r="CG29" i="1"/>
  <c r="CG18" i="1"/>
  <c r="CG26" i="1"/>
  <c r="CG25" i="1"/>
  <c r="CG35" i="1"/>
  <c r="CG23" i="1"/>
  <c r="CG33" i="1"/>
  <c r="CG34" i="1"/>
  <c r="CG22" i="1"/>
  <c r="CG17" i="1"/>
  <c r="CG19" i="1"/>
  <c r="CG11" i="1"/>
  <c r="CG28" i="1"/>
  <c r="CG27" i="1"/>
  <c r="CG15" i="1"/>
  <c r="CG16" i="1"/>
  <c r="CG14" i="1"/>
  <c r="CG12" i="1"/>
  <c r="CG20" i="1"/>
  <c r="CG13" i="1"/>
  <c r="CG10" i="1"/>
  <c r="CG5" i="1"/>
  <c r="CG8" i="1"/>
  <c r="CG9" i="1"/>
  <c r="CG4" i="1"/>
  <c r="CG6" i="1"/>
  <c r="CG7" i="1"/>
  <c r="CG3" i="1"/>
  <c r="CG90" i="1"/>
  <c r="CG2" i="1"/>
  <c r="V81" i="1" l="1"/>
  <c r="AG105" i="1"/>
  <c r="AE105" i="1"/>
  <c r="AG109" i="1"/>
  <c r="W94" i="1" l="1"/>
  <c r="V94" i="1"/>
  <c r="V76" i="1"/>
  <c r="W76" i="1"/>
  <c r="W78" i="1"/>
  <c r="V78" i="1"/>
  <c r="V96" i="1"/>
  <c r="W96" i="1"/>
  <c r="W83" i="1"/>
  <c r="V83" i="1"/>
  <c r="V79" i="1"/>
  <c r="W79" i="1"/>
  <c r="W82" i="1"/>
  <c r="V82" i="1"/>
  <c r="V77" i="1"/>
  <c r="W77" i="1"/>
  <c r="W84" i="1"/>
  <c r="V84" i="1"/>
  <c r="AO23" i="1"/>
  <c r="AL23" i="1"/>
  <c r="AP23" i="1"/>
  <c r="AH105" i="1"/>
  <c r="AH109" i="1"/>
  <c r="GF73" i="1"/>
  <c r="GF72" i="1"/>
  <c r="HS72" i="1" s="1"/>
  <c r="HH100" i="1"/>
  <c r="GV100" i="1"/>
  <c r="GZ100" i="1" s="1"/>
  <c r="GM100" i="1"/>
  <c r="HH102" i="1"/>
  <c r="GV102" i="1"/>
  <c r="GM102" i="1"/>
  <c r="HH101" i="1"/>
  <c r="GV101" i="1"/>
  <c r="GM101" i="1"/>
  <c r="HH99" i="1"/>
  <c r="GV99" i="1"/>
  <c r="GZ99" i="1" s="1"/>
  <c r="GM99" i="1"/>
  <c r="HH103" i="1"/>
  <c r="GV103" i="1"/>
  <c r="GZ103" i="1" s="1"/>
  <c r="GM103" i="1"/>
  <c r="HR87" i="1"/>
  <c r="HP87" i="1"/>
  <c r="HH87" i="1"/>
  <c r="HK87" i="1" s="1"/>
  <c r="GV87" i="1"/>
  <c r="GS87" i="1"/>
  <c r="GM87" i="1"/>
  <c r="HR88" i="1"/>
  <c r="HP88" i="1"/>
  <c r="HH88" i="1"/>
  <c r="HK88" i="1" s="1"/>
  <c r="GV88" i="1"/>
  <c r="GS88" i="1"/>
  <c r="GM88" i="1"/>
  <c r="HR86" i="1"/>
  <c r="HP86" i="1"/>
  <c r="HH86" i="1"/>
  <c r="HK86" i="1" s="1"/>
  <c r="GV86" i="1"/>
  <c r="GS86" i="1"/>
  <c r="GM86" i="1"/>
  <c r="HR91" i="1"/>
  <c r="HP91" i="1"/>
  <c r="HH91" i="1"/>
  <c r="HK91" i="1" s="1"/>
  <c r="GV91" i="1"/>
  <c r="GZ91" i="1" s="1"/>
  <c r="GS91" i="1"/>
  <c r="GM91" i="1"/>
  <c r="HR89" i="1"/>
  <c r="HP89" i="1"/>
  <c r="HH89" i="1"/>
  <c r="HK89" i="1" s="1"/>
  <c r="GV89" i="1"/>
  <c r="GZ89" i="1" s="1"/>
  <c r="GS89" i="1"/>
  <c r="GM89" i="1"/>
  <c r="HR90" i="1"/>
  <c r="HP90" i="1"/>
  <c r="HH90" i="1"/>
  <c r="HK90" i="1" s="1"/>
  <c r="GV90" i="1"/>
  <c r="GZ90" i="1" s="1"/>
  <c r="GS90" i="1"/>
  <c r="GM90" i="1"/>
  <c r="HR85" i="1"/>
  <c r="HP85" i="1"/>
  <c r="HH85" i="1"/>
  <c r="GY85" i="1"/>
  <c r="GS85" i="1"/>
  <c r="GM85" i="1"/>
  <c r="HH98" i="1"/>
  <c r="GV98" i="1"/>
  <c r="GM98" i="1"/>
  <c r="HH97" i="1"/>
  <c r="GV97" i="1"/>
  <c r="GM97" i="1"/>
  <c r="HH96" i="1"/>
  <c r="GV96" i="1"/>
  <c r="GZ96" i="1" s="1"/>
  <c r="GM96" i="1"/>
  <c r="HH82" i="1"/>
  <c r="GZ82" i="1"/>
  <c r="GM82" i="1"/>
  <c r="HH61" i="1"/>
  <c r="GG61" i="1"/>
  <c r="HE61" i="1" s="1"/>
  <c r="GM61" i="1"/>
  <c r="HR74" i="1"/>
  <c r="HP74" i="1"/>
  <c r="HH74" i="1"/>
  <c r="HK74" i="1" s="1"/>
  <c r="GZ74" i="1"/>
  <c r="GV74" i="1"/>
  <c r="GM74" i="1"/>
  <c r="HH79" i="1"/>
  <c r="GV79" i="1"/>
  <c r="GM79" i="1"/>
  <c r="HH94" i="1"/>
  <c r="GM94" i="1"/>
  <c r="HR73" i="1"/>
  <c r="HP73" i="1"/>
  <c r="HH73" i="1"/>
  <c r="HK73" i="1" s="1"/>
  <c r="GZ73" i="1"/>
  <c r="GV73" i="1"/>
  <c r="GG73" i="1" s="1"/>
  <c r="HE73" i="1" s="1"/>
  <c r="GM73" i="1"/>
  <c r="HH77" i="1"/>
  <c r="GV77" i="1"/>
  <c r="GM77" i="1"/>
  <c r="HH93" i="1"/>
  <c r="GV93" i="1"/>
  <c r="GM93" i="1"/>
  <c r="HH76" i="1"/>
  <c r="GV76" i="1"/>
  <c r="GM76" i="1"/>
  <c r="HH83" i="1"/>
  <c r="GV83" i="1"/>
  <c r="GM83" i="1"/>
  <c r="HR84" i="1"/>
  <c r="HP84" i="1"/>
  <c r="HH84" i="1"/>
  <c r="HK84" i="1" s="1"/>
  <c r="GV84" i="1"/>
  <c r="GZ84" i="1" s="1"/>
  <c r="GM84" i="1"/>
  <c r="HH92" i="1"/>
  <c r="GV92" i="1"/>
  <c r="GM92" i="1"/>
  <c r="HH78" i="1"/>
  <c r="GV78" i="1"/>
  <c r="GZ78" i="1" s="1"/>
  <c r="GM78" i="1"/>
  <c r="HH80" i="1"/>
  <c r="GV80" i="1"/>
  <c r="GZ80" i="1" s="1"/>
  <c r="GM80" i="1"/>
  <c r="HR72" i="1"/>
  <c r="HP72" i="1"/>
  <c r="HH72" i="1"/>
  <c r="HK72" i="1" s="1"/>
  <c r="GZ72" i="1"/>
  <c r="GV72" i="1"/>
  <c r="GY72" i="1" s="1"/>
  <c r="GM72" i="1"/>
  <c r="HR71" i="1"/>
  <c r="HP71" i="1"/>
  <c r="HH71" i="1"/>
  <c r="HK71" i="1" s="1"/>
  <c r="GZ71" i="1"/>
  <c r="GV71" i="1"/>
  <c r="GM71" i="1"/>
  <c r="GF100" i="1"/>
  <c r="GF102" i="1"/>
  <c r="GF101" i="1"/>
  <c r="GF99" i="1"/>
  <c r="GF103" i="1"/>
  <c r="HS103" i="1" s="1"/>
  <c r="GF87" i="1"/>
  <c r="GF88" i="1"/>
  <c r="GF86" i="1"/>
  <c r="GF91" i="1"/>
  <c r="GF89" i="1"/>
  <c r="HS89" i="1" s="1"/>
  <c r="GF90" i="1"/>
  <c r="GF85" i="1"/>
  <c r="GF98" i="1"/>
  <c r="GF97" i="1"/>
  <c r="GF61" i="1"/>
  <c r="HW61" i="1" s="1"/>
  <c r="GF93" i="1"/>
  <c r="GF83" i="1"/>
  <c r="HW83" i="1" s="1"/>
  <c r="GF84" i="1"/>
  <c r="GF92" i="1"/>
  <c r="GG76" i="1" l="1"/>
  <c r="HE76" i="1" s="1"/>
  <c r="GZ76" i="1"/>
  <c r="GY88" i="1"/>
  <c r="GZ88" i="1"/>
  <c r="GG102" i="1"/>
  <c r="HE102" i="1" s="1"/>
  <c r="GZ102" i="1"/>
  <c r="GG92" i="1"/>
  <c r="HE92" i="1" s="1"/>
  <c r="GZ92" i="1"/>
  <c r="GG83" i="1"/>
  <c r="HE83" i="1" s="1"/>
  <c r="GZ83" i="1"/>
  <c r="GG79" i="1"/>
  <c r="HE79" i="1" s="1"/>
  <c r="GZ79" i="1"/>
  <c r="GG77" i="1"/>
  <c r="HE77" i="1" s="1"/>
  <c r="GZ77" i="1"/>
  <c r="GG98" i="1"/>
  <c r="HE98" i="1" s="1"/>
  <c r="GZ98" i="1"/>
  <c r="GY86" i="1"/>
  <c r="GZ86" i="1"/>
  <c r="GY87" i="1"/>
  <c r="GZ87" i="1"/>
  <c r="GG101" i="1"/>
  <c r="HE101" i="1" s="1"/>
  <c r="GZ101" i="1"/>
  <c r="GG93" i="1"/>
  <c r="HE93" i="1" s="1"/>
  <c r="GZ93" i="1"/>
  <c r="GG97" i="1"/>
  <c r="HE97" i="1" s="1"/>
  <c r="GZ97" i="1"/>
  <c r="GJ61" i="1"/>
  <c r="GI61" i="1"/>
  <c r="HK85" i="1"/>
  <c r="GF80" i="1"/>
  <c r="HW80" i="1" s="1"/>
  <c r="GG80" i="1"/>
  <c r="HE82" i="1"/>
  <c r="GY91" i="1"/>
  <c r="GG91" i="1"/>
  <c r="HE91" i="1" s="1"/>
  <c r="GY74" i="1"/>
  <c r="GG74" i="1"/>
  <c r="GY84" i="1"/>
  <c r="GG84" i="1"/>
  <c r="HE84" i="1" s="1"/>
  <c r="GY90" i="1"/>
  <c r="GG90" i="1"/>
  <c r="HE90" i="1" s="1"/>
  <c r="GY99" i="1"/>
  <c r="GG99" i="1"/>
  <c r="GG78" i="1"/>
  <c r="HE78" i="1" s="1"/>
  <c r="GF96" i="1"/>
  <c r="GG96" i="1"/>
  <c r="GY89" i="1"/>
  <c r="GG89" i="1"/>
  <c r="HE89" i="1" s="1"/>
  <c r="GY103" i="1"/>
  <c r="GG103" i="1"/>
  <c r="GY100" i="1"/>
  <c r="GG100" i="1"/>
  <c r="GN88" i="1"/>
  <c r="GU82" i="1"/>
  <c r="GF82" i="1" s="1"/>
  <c r="HS82" i="1" s="1"/>
  <c r="GF79" i="1"/>
  <c r="HW79" i="1" s="1"/>
  <c r="GF94" i="1"/>
  <c r="GY96" i="1"/>
  <c r="GF76" i="1"/>
  <c r="GF77" i="1"/>
  <c r="GN87" i="1"/>
  <c r="GU78" i="1"/>
  <c r="GN94" i="1"/>
  <c r="GY102" i="1"/>
  <c r="GG72" i="1"/>
  <c r="HW92" i="1"/>
  <c r="HW98" i="1"/>
  <c r="HW97" i="1"/>
  <c r="GY101" i="1"/>
  <c r="HW73" i="1"/>
  <c r="HW71" i="1"/>
  <c r="HW93" i="1"/>
  <c r="GY92" i="1"/>
  <c r="HS84" i="1"/>
  <c r="HW84" i="1"/>
  <c r="HS74" i="1"/>
  <c r="HW74" i="1"/>
  <c r="HW90" i="1"/>
  <c r="HS90" i="1"/>
  <c r="GY80" i="1"/>
  <c r="HW91" i="1"/>
  <c r="HS91" i="1"/>
  <c r="GG71" i="1"/>
  <c r="HE71" i="1" s="1"/>
  <c r="GY71" i="1"/>
  <c r="GN73" i="1"/>
  <c r="GH73" i="1"/>
  <c r="GN61" i="1"/>
  <c r="GH61" i="1"/>
  <c r="HW72" i="1"/>
  <c r="HW88" i="1"/>
  <c r="HS88" i="1"/>
  <c r="HW99" i="1"/>
  <c r="GI99" i="1"/>
  <c r="HS99" i="1"/>
  <c r="HW101" i="1"/>
  <c r="GI101" i="1"/>
  <c r="HS101" i="1"/>
  <c r="HW102" i="1"/>
  <c r="GI102" i="1"/>
  <c r="HS102" i="1"/>
  <c r="GY83" i="1"/>
  <c r="GY93" i="1"/>
  <c r="GY73" i="1"/>
  <c r="GY61" i="1"/>
  <c r="GY97" i="1"/>
  <c r="GY98" i="1"/>
  <c r="HW85" i="1"/>
  <c r="HW89" i="1"/>
  <c r="HW86" i="1"/>
  <c r="HW87" i="1"/>
  <c r="HW103" i="1"/>
  <c r="GI103" i="1"/>
  <c r="HW100" i="1"/>
  <c r="GI100" i="1"/>
  <c r="HS71" i="1"/>
  <c r="HS92" i="1"/>
  <c r="HS83" i="1"/>
  <c r="HS93" i="1"/>
  <c r="HS73" i="1"/>
  <c r="HS61" i="1"/>
  <c r="HS97" i="1"/>
  <c r="HS98" i="1"/>
  <c r="GI97" i="1"/>
  <c r="GI98" i="1"/>
  <c r="HS85" i="1"/>
  <c r="HS86" i="1"/>
  <c r="HS87" i="1"/>
  <c r="HS100" i="1"/>
  <c r="GN79" i="1" l="1"/>
  <c r="GN101" i="1"/>
  <c r="GN76" i="1"/>
  <c r="GH83" i="1"/>
  <c r="GN83" i="1"/>
  <c r="GN102" i="1"/>
  <c r="GJ76" i="1"/>
  <c r="GH97" i="1"/>
  <c r="GN77" i="1"/>
  <c r="GI83" i="1"/>
  <c r="GN97" i="1"/>
  <c r="GI77" i="1"/>
  <c r="GJ93" i="1"/>
  <c r="GJ83" i="1"/>
  <c r="GI76" i="1"/>
  <c r="GJ77" i="1"/>
  <c r="GH93" i="1"/>
  <c r="GH98" i="1"/>
  <c r="GN93" i="1"/>
  <c r="GN98" i="1"/>
  <c r="GI92" i="1"/>
  <c r="GJ92" i="1"/>
  <c r="GJ79" i="1"/>
  <c r="GH103" i="1"/>
  <c r="HE103" i="1"/>
  <c r="GN100" i="1"/>
  <c r="HE100" i="1"/>
  <c r="GJ80" i="1"/>
  <c r="HE80" i="1"/>
  <c r="GN74" i="1"/>
  <c r="HE74" i="1"/>
  <c r="GN72" i="1"/>
  <c r="HE72" i="1"/>
  <c r="GN99" i="1"/>
  <c r="HE99" i="1"/>
  <c r="GI93" i="1"/>
  <c r="GI79" i="1"/>
  <c r="GN96" i="1"/>
  <c r="HE96" i="1"/>
  <c r="GN84" i="1"/>
  <c r="GJ84" i="1"/>
  <c r="GI84" i="1"/>
  <c r="GH91" i="1"/>
  <c r="GJ91" i="1"/>
  <c r="GI91" i="1"/>
  <c r="GN90" i="1"/>
  <c r="GJ90" i="1"/>
  <c r="GI90" i="1"/>
  <c r="GN82" i="1"/>
  <c r="GJ82" i="1"/>
  <c r="GI82" i="1"/>
  <c r="GH89" i="1"/>
  <c r="GJ89" i="1"/>
  <c r="GI89" i="1"/>
  <c r="GN78" i="1"/>
  <c r="GJ78" i="1"/>
  <c r="GI78" i="1"/>
  <c r="GI80" i="1"/>
  <c r="HW96" i="1"/>
  <c r="GI96" i="1"/>
  <c r="HS96" i="1"/>
  <c r="HS80" i="1"/>
  <c r="GH100" i="1"/>
  <c r="GF78" i="1"/>
  <c r="HS78" i="1" s="1"/>
  <c r="HW82" i="1"/>
  <c r="GH90" i="1"/>
  <c r="GH88" i="1"/>
  <c r="GH74" i="1"/>
  <c r="GN91" i="1"/>
  <c r="GH102" i="1"/>
  <c r="HS77" i="1"/>
  <c r="HS79" i="1"/>
  <c r="GY79" i="1"/>
  <c r="HW94" i="1"/>
  <c r="GH82" i="1"/>
  <c r="GY82" i="1"/>
  <c r="HS94" i="1"/>
  <c r="GH87" i="1"/>
  <c r="HS76" i="1"/>
  <c r="GH79" i="1"/>
  <c r="GH96" i="1"/>
  <c r="GY94" i="1"/>
  <c r="GN103" i="1"/>
  <c r="HW76" i="1"/>
  <c r="HW77" i="1"/>
  <c r="GH76" i="1"/>
  <c r="GY76" i="1"/>
  <c r="GY77" i="1"/>
  <c r="GH77" i="1"/>
  <c r="GH84" i="1"/>
  <c r="GN89" i="1"/>
  <c r="GH94" i="1"/>
  <c r="GY78" i="1"/>
  <c r="GH99" i="1"/>
  <c r="GH101" i="1"/>
  <c r="GH72" i="1"/>
  <c r="GN85" i="1"/>
  <c r="GH85" i="1"/>
  <c r="GN80" i="1"/>
  <c r="GH80" i="1"/>
  <c r="GH86" i="1"/>
  <c r="GN86" i="1"/>
  <c r="GN71" i="1"/>
  <c r="GH71" i="1"/>
  <c r="GN92" i="1"/>
  <c r="GH92" i="1"/>
  <c r="HW78" i="1" l="1"/>
  <c r="GH78" i="1"/>
  <c r="L21" i="26" l="1"/>
  <c r="CK2" i="1" l="1"/>
  <c r="CJ2" i="1"/>
  <c r="CS100" i="1" l="1"/>
  <c r="CR100" i="1"/>
  <c r="CS84" i="1"/>
  <c r="CR84" i="1"/>
  <c r="CS102" i="1"/>
  <c r="CR102" i="1"/>
  <c r="CS98" i="1"/>
  <c r="CR98" i="1"/>
  <c r="CS97" i="1"/>
  <c r="CR97" i="1"/>
  <c r="CS61" i="1"/>
  <c r="CR61" i="1"/>
  <c r="CS83" i="1"/>
  <c r="CR83" i="1"/>
  <c r="CS93" i="1"/>
  <c r="CR93" i="1"/>
  <c r="DG93" i="1" s="1"/>
  <c r="CS77" i="1"/>
  <c r="CR77" i="1"/>
  <c r="CS82" i="1"/>
  <c r="CR82" i="1"/>
  <c r="CS80" i="1"/>
  <c r="CR80" i="1"/>
  <c r="CS96" i="1"/>
  <c r="CR96" i="1"/>
  <c r="DG96" i="1" s="1"/>
  <c r="CS92" i="1"/>
  <c r="CR92" i="1"/>
  <c r="CS76" i="1"/>
  <c r="CR76" i="1"/>
  <c r="CS79" i="1"/>
  <c r="CR79" i="1"/>
  <c r="CS78" i="1"/>
  <c r="CR78" i="1"/>
  <c r="DG78" i="1" s="1"/>
  <c r="CS75" i="1"/>
  <c r="CR75" i="1"/>
  <c r="CS81" i="1"/>
  <c r="CR81" i="1"/>
  <c r="CS68" i="1"/>
  <c r="CR68" i="1"/>
  <c r="DG68" i="1" s="1"/>
  <c r="CS63" i="1"/>
  <c r="CR63" i="1"/>
  <c r="CS60" i="1"/>
  <c r="CR60" i="1"/>
  <c r="CS64" i="1"/>
  <c r="CR64" i="1"/>
  <c r="CS49" i="1"/>
  <c r="CO49" i="1"/>
  <c r="CS65" i="1"/>
  <c r="CR65" i="1"/>
  <c r="CS66" i="1"/>
  <c r="CR66" i="1"/>
  <c r="CS62" i="1"/>
  <c r="CR62" i="1"/>
  <c r="CS67" i="1"/>
  <c r="CR67" i="1"/>
  <c r="CS56" i="1"/>
  <c r="CR56" i="1"/>
  <c r="CS58" i="1"/>
  <c r="CL58" i="1"/>
  <c r="CI100" i="1"/>
  <c r="CI84" i="1"/>
  <c r="CI83" i="1"/>
  <c r="CI93" i="1"/>
  <c r="CI96" i="1"/>
  <c r="CI92" i="1"/>
  <c r="CL65" i="1" l="1"/>
  <c r="DG65" i="1"/>
  <c r="CL76" i="1"/>
  <c r="DG76" i="1"/>
  <c r="CL82" i="1"/>
  <c r="DG82" i="1"/>
  <c r="CL98" i="1"/>
  <c r="DG98" i="1"/>
  <c r="CL84" i="1"/>
  <c r="DG84" i="1"/>
  <c r="CL56" i="1"/>
  <c r="DG56" i="1"/>
  <c r="CL64" i="1"/>
  <c r="DG64" i="1"/>
  <c r="CL81" i="1"/>
  <c r="DG81" i="1"/>
  <c r="CL67" i="1"/>
  <c r="DG67" i="1"/>
  <c r="CL66" i="1"/>
  <c r="DG66" i="1"/>
  <c r="CL60" i="1"/>
  <c r="DG60" i="1"/>
  <c r="CL75" i="1"/>
  <c r="DG75" i="1"/>
  <c r="CL79" i="1"/>
  <c r="DG79" i="1"/>
  <c r="CL92" i="1"/>
  <c r="DG92" i="1"/>
  <c r="CL80" i="1"/>
  <c r="DG80" i="1"/>
  <c r="CL77" i="1"/>
  <c r="DG77" i="1"/>
  <c r="CL83" i="1"/>
  <c r="DG83" i="1"/>
  <c r="CL97" i="1"/>
  <c r="DG97" i="1"/>
  <c r="CL102" i="1"/>
  <c r="DG102" i="1"/>
  <c r="CL100" i="1"/>
  <c r="DG100" i="1"/>
  <c r="CL62" i="1"/>
  <c r="DG62" i="1"/>
  <c r="CL63" i="1"/>
  <c r="DG63" i="1"/>
  <c r="CL61" i="1"/>
  <c r="DG61" i="1"/>
  <c r="FP68" i="1"/>
  <c r="CL68" i="1"/>
  <c r="FP78" i="1"/>
  <c r="CL78" i="1"/>
  <c r="FP96" i="1"/>
  <c r="CL96" i="1"/>
  <c r="FP93" i="1"/>
  <c r="CL93" i="1"/>
  <c r="CJ56" i="1"/>
  <c r="CO56" i="1" s="1"/>
  <c r="FP56" i="1"/>
  <c r="CJ62" i="1"/>
  <c r="FP62" i="1"/>
  <c r="CW65" i="1"/>
  <c r="CX65" i="1" s="1"/>
  <c r="FP65" i="1"/>
  <c r="CW64" i="1"/>
  <c r="CX64" i="1" s="1"/>
  <c r="FP64" i="1"/>
  <c r="CW63" i="1"/>
  <c r="CX63" i="1" s="1"/>
  <c r="FP63" i="1"/>
  <c r="CW81" i="1"/>
  <c r="CX81" i="1" s="1"/>
  <c r="FP81" i="1"/>
  <c r="CW76" i="1"/>
  <c r="CX76" i="1" s="1"/>
  <c r="FP76" i="1"/>
  <c r="CW82" i="1"/>
  <c r="CX82" i="1" s="1"/>
  <c r="CC82" i="1" s="1"/>
  <c r="FP82" i="1"/>
  <c r="CJ61" i="1"/>
  <c r="FP61" i="1"/>
  <c r="CW98" i="1"/>
  <c r="CX98" i="1" s="1"/>
  <c r="FP98" i="1"/>
  <c r="CW84" i="1"/>
  <c r="CX84" i="1" s="1"/>
  <c r="FP84" i="1"/>
  <c r="CW67" i="1"/>
  <c r="CX67" i="1" s="1"/>
  <c r="FP67" i="1"/>
  <c r="CW66" i="1"/>
  <c r="CX66" i="1" s="1"/>
  <c r="FP66" i="1"/>
  <c r="CW60" i="1"/>
  <c r="CK60" i="1" s="1"/>
  <c r="FP60" i="1"/>
  <c r="CJ75" i="1"/>
  <c r="FP75" i="1"/>
  <c r="CW79" i="1"/>
  <c r="CX79" i="1" s="1"/>
  <c r="FP79" i="1"/>
  <c r="CW92" i="1"/>
  <c r="CX92" i="1" s="1"/>
  <c r="FP92" i="1"/>
  <c r="CW80" i="1"/>
  <c r="CX80" i="1" s="1"/>
  <c r="FP80" i="1"/>
  <c r="CW77" i="1"/>
  <c r="CX77" i="1" s="1"/>
  <c r="FP77" i="1"/>
  <c r="CW83" i="1"/>
  <c r="CX83" i="1" s="1"/>
  <c r="FP83" i="1"/>
  <c r="CW97" i="1"/>
  <c r="CX97" i="1" s="1"/>
  <c r="FP97" i="1"/>
  <c r="CW102" i="1"/>
  <c r="CX102" i="1" s="1"/>
  <c r="FP102" i="1"/>
  <c r="CW100" i="1"/>
  <c r="CX100" i="1" s="1"/>
  <c r="CC100" i="1" s="1"/>
  <c r="FP100" i="1"/>
  <c r="CJ58" i="1"/>
  <c r="CO58" i="1" s="1"/>
  <c r="FP58" i="1"/>
  <c r="CW62" i="1"/>
  <c r="CX62" i="1" s="1"/>
  <c r="CJ80" i="1"/>
  <c r="CW49" i="1"/>
  <c r="CJ60" i="1"/>
  <c r="CJ92" i="1"/>
  <c r="CO92" i="1" s="1"/>
  <c r="CJ102" i="1"/>
  <c r="CO102" i="1" s="1"/>
  <c r="CJ83" i="1"/>
  <c r="CW61" i="1"/>
  <c r="CX61" i="1" s="1"/>
  <c r="CC61" i="1" s="1"/>
  <c r="CJ76" i="1"/>
  <c r="CJ77" i="1"/>
  <c r="CJ67" i="1"/>
  <c r="CO67" i="1" s="1"/>
  <c r="CJ63" i="1"/>
  <c r="CW75" i="1"/>
  <c r="CX75" i="1" s="1"/>
  <c r="CJ82" i="1"/>
  <c r="CJ98" i="1"/>
  <c r="CX58" i="1"/>
  <c r="CJ64" i="1"/>
  <c r="CJ97" i="1"/>
  <c r="CJ100" i="1"/>
  <c r="CJ65" i="1"/>
  <c r="CJ66" i="1"/>
  <c r="CJ93" i="1"/>
  <c r="CW93" i="1"/>
  <c r="CX93" i="1" s="1"/>
  <c r="CW56" i="1"/>
  <c r="CX56" i="1" s="1"/>
  <c r="CJ81" i="1"/>
  <c r="CJ96" i="1"/>
  <c r="CW96" i="1"/>
  <c r="CX96" i="1" s="1"/>
  <c r="CJ84" i="1"/>
  <c r="CJ68" i="1"/>
  <c r="CW68" i="1"/>
  <c r="CX68" i="1" s="1"/>
  <c r="CJ79" i="1"/>
  <c r="CJ78" i="1"/>
  <c r="CW78" i="1"/>
  <c r="CX78" i="1" s="1"/>
  <c r="CO61" i="1" l="1"/>
  <c r="CO62" i="1"/>
  <c r="CO75" i="1"/>
  <c r="CK68" i="1"/>
  <c r="FS68" i="1"/>
  <c r="FY68" i="1" s="1"/>
  <c r="CK58" i="1"/>
  <c r="FS58" i="1"/>
  <c r="FY58" i="1" s="1"/>
  <c r="CK61" i="1"/>
  <c r="FS61" i="1"/>
  <c r="FY61" i="1" s="1"/>
  <c r="CK102" i="1"/>
  <c r="FS102" i="1"/>
  <c r="FY102" i="1" s="1"/>
  <c r="CK80" i="1"/>
  <c r="FS80" i="1"/>
  <c r="FY80" i="1" s="1"/>
  <c r="CK79" i="1"/>
  <c r="FS79" i="1"/>
  <c r="FY79" i="1" s="1"/>
  <c r="CK67" i="1"/>
  <c r="FS67" i="1"/>
  <c r="FY67" i="1" s="1"/>
  <c r="CK98" i="1"/>
  <c r="FS98" i="1"/>
  <c r="FY98" i="1" s="1"/>
  <c r="CK82" i="1"/>
  <c r="FS82" i="1"/>
  <c r="FY82" i="1" s="1"/>
  <c r="CK81" i="1"/>
  <c r="FS81" i="1"/>
  <c r="FY81" i="1" s="1"/>
  <c r="CK64" i="1"/>
  <c r="FS64" i="1"/>
  <c r="FY64" i="1" s="1"/>
  <c r="CK83" i="1"/>
  <c r="CM83" i="1" s="1"/>
  <c r="FS83" i="1"/>
  <c r="FY83" i="1" s="1"/>
  <c r="CK62" i="1"/>
  <c r="FS62" i="1"/>
  <c r="FY62" i="1" s="1"/>
  <c r="CK78" i="1"/>
  <c r="FS78" i="1"/>
  <c r="FY78" i="1" s="1"/>
  <c r="CK93" i="1"/>
  <c r="CM93" i="1" s="1"/>
  <c r="FS93" i="1"/>
  <c r="FY93" i="1" s="1"/>
  <c r="CK96" i="1"/>
  <c r="CM96" i="1" s="1"/>
  <c r="FS96" i="1"/>
  <c r="FY96" i="1" s="1"/>
  <c r="CK56" i="1"/>
  <c r="FS56" i="1"/>
  <c r="FY56" i="1" s="1"/>
  <c r="CK75" i="1"/>
  <c r="FS75" i="1"/>
  <c r="FY75" i="1" s="1"/>
  <c r="CK100" i="1"/>
  <c r="CM100" i="1" s="1"/>
  <c r="FS100" i="1"/>
  <c r="FY100" i="1" s="1"/>
  <c r="CK97" i="1"/>
  <c r="FS97" i="1"/>
  <c r="FY97" i="1" s="1"/>
  <c r="CK77" i="1"/>
  <c r="FS77" i="1"/>
  <c r="FY77" i="1" s="1"/>
  <c r="CK92" i="1"/>
  <c r="CM92" i="1" s="1"/>
  <c r="FS92" i="1"/>
  <c r="FY92" i="1" s="1"/>
  <c r="CK66" i="1"/>
  <c r="FS66" i="1"/>
  <c r="FY66" i="1" s="1"/>
  <c r="CK84" i="1"/>
  <c r="CM84" i="1" s="1"/>
  <c r="FS84" i="1"/>
  <c r="FY84" i="1" s="1"/>
  <c r="CK76" i="1"/>
  <c r="FS76" i="1"/>
  <c r="FY76" i="1" s="1"/>
  <c r="CK63" i="1"/>
  <c r="FS63" i="1"/>
  <c r="FY63" i="1" s="1"/>
  <c r="CK65" i="1"/>
  <c r="FS65" i="1"/>
  <c r="FY65" i="1" s="1"/>
  <c r="CX49" i="1"/>
  <c r="CO60" i="1"/>
  <c r="HR100" i="1"/>
  <c r="HP100" i="1"/>
  <c r="HK100" i="1"/>
  <c r="GJ100" i="1"/>
  <c r="CO80" i="1"/>
  <c r="CO83" i="1"/>
  <c r="CO98" i="1"/>
  <c r="CO76" i="1"/>
  <c r="CO77" i="1"/>
  <c r="CO97" i="1"/>
  <c r="CO82" i="1"/>
  <c r="CO63" i="1"/>
  <c r="CO64" i="1"/>
  <c r="CO65" i="1"/>
  <c r="CO78" i="1"/>
  <c r="CO100" i="1"/>
  <c r="CO68" i="1"/>
  <c r="CO84" i="1"/>
  <c r="CO96" i="1"/>
  <c r="CO93" i="1"/>
  <c r="CO81" i="1"/>
  <c r="CO79" i="1"/>
  <c r="CO66" i="1"/>
  <c r="CC49" i="1" l="1"/>
  <c r="C57" i="26" s="1"/>
  <c r="CK49" i="1"/>
  <c r="FS49" i="1"/>
  <c r="FY49" i="1" s="1"/>
  <c r="HP96" i="1" l="1"/>
  <c r="HR96" i="1"/>
  <c r="HK96" i="1"/>
  <c r="GJ96" i="1"/>
  <c r="GS83" i="1" l="1"/>
  <c r="HR83" i="1"/>
  <c r="HP83" i="1"/>
  <c r="HK83" i="1"/>
  <c r="GS92" i="1" l="1"/>
  <c r="HR92" i="1"/>
  <c r="HP92" i="1"/>
  <c r="HK92" i="1"/>
  <c r="BK58" i="1" l="1"/>
  <c r="BK69" i="1"/>
  <c r="BK70" i="1"/>
  <c r="BK59" i="1"/>
  <c r="BK57" i="1" l="1"/>
  <c r="GS93" i="1" l="1"/>
  <c r="HR93" i="1"/>
  <c r="HP93" i="1"/>
  <c r="HK93" i="1"/>
  <c r="BX27" i="1" l="1"/>
  <c r="BX22" i="1"/>
  <c r="BX21" i="1"/>
  <c r="BX29" i="1"/>
  <c r="BX44" i="1" l="1"/>
  <c r="I153" i="1" l="1"/>
  <c r="C124" i="1"/>
  <c r="CI94" i="1" l="1"/>
  <c r="CI80" i="1"/>
  <c r="CM80" i="1" s="1"/>
  <c r="CI79" i="1"/>
  <c r="CM79" i="1" s="1"/>
  <c r="CI78" i="1"/>
  <c r="CM78" i="1" s="1"/>
  <c r="CI98" i="1"/>
  <c r="CM98" i="1" s="1"/>
  <c r="CR94" i="1"/>
  <c r="CL94" i="1" l="1"/>
  <c r="DG94" i="1"/>
  <c r="CW94" i="1"/>
  <c r="CX94" i="1" s="1"/>
  <c r="FP94" i="1"/>
  <c r="CJ94" i="1"/>
  <c r="CK94" i="1" l="1"/>
  <c r="CM94" i="1" s="1"/>
  <c r="FS94" i="1"/>
  <c r="FY94" i="1" s="1"/>
  <c r="CO94" i="1"/>
  <c r="HR78" i="1" l="1"/>
  <c r="HP78" i="1"/>
  <c r="HK78" i="1"/>
  <c r="R78" i="1"/>
  <c r="GV75" i="1" l="1"/>
  <c r="GZ75" i="1" s="1"/>
  <c r="HG41" i="1" l="1"/>
  <c r="AS4" i="1" l="1"/>
  <c r="HR79" i="1" l="1"/>
  <c r="HP79" i="1"/>
  <c r="HK79" i="1"/>
  <c r="HR98" i="1"/>
  <c r="HP98" i="1"/>
  <c r="GJ98" i="1"/>
  <c r="HK98" i="1"/>
  <c r="HR80" i="1"/>
  <c r="HP80" i="1"/>
  <c r="HK80" i="1"/>
  <c r="R79" i="1"/>
  <c r="R98" i="1"/>
  <c r="W80" i="1"/>
  <c r="V80" i="1"/>
  <c r="GV67" i="1" l="1"/>
  <c r="GZ67" i="1" s="1"/>
  <c r="GV57" i="1" l="1"/>
  <c r="GG57" i="1" l="1"/>
  <c r="HE57" i="1" s="1"/>
  <c r="GZ57" i="1"/>
  <c r="GJ57" i="1" l="1"/>
  <c r="GI57" i="1"/>
  <c r="CS43" i="1" l="1"/>
  <c r="GS55" i="1" l="1"/>
  <c r="GS54" i="1"/>
  <c r="GS52" i="1"/>
  <c r="GS53" i="1"/>
  <c r="GS51" i="1"/>
  <c r="GT55" i="1"/>
  <c r="GT54" i="1"/>
  <c r="GT52" i="1"/>
  <c r="GT53" i="1"/>
  <c r="GT51" i="1"/>
  <c r="GT50" i="1"/>
  <c r="GF63" i="1" l="1"/>
  <c r="GV58" i="1" l="1"/>
  <c r="GZ58" i="1" s="1"/>
  <c r="CJ36" i="1" l="1"/>
  <c r="CJ30" i="1" l="1"/>
  <c r="CI30" i="1"/>
  <c r="M160" i="1" l="1"/>
  <c r="M159" i="1"/>
  <c r="M158" i="1"/>
  <c r="M157" i="1"/>
  <c r="M156" i="1"/>
  <c r="M155" i="1"/>
  <c r="M154" i="1"/>
  <c r="M153" i="1"/>
  <c r="K160" i="1"/>
  <c r="K159" i="1"/>
  <c r="K158" i="1"/>
  <c r="K157" i="1"/>
  <c r="K156" i="1"/>
  <c r="K155" i="1"/>
  <c r="K154" i="1"/>
  <c r="K153" i="1"/>
  <c r="I160" i="1"/>
  <c r="I159" i="1"/>
  <c r="I158" i="1"/>
  <c r="I157" i="1"/>
  <c r="I156" i="1"/>
  <c r="I155" i="1"/>
  <c r="I154" i="1"/>
  <c r="G160" i="1"/>
  <c r="G159" i="1"/>
  <c r="G158" i="1"/>
  <c r="G157" i="1"/>
  <c r="G156" i="1"/>
  <c r="G155" i="1"/>
  <c r="G154" i="1"/>
  <c r="E160" i="1"/>
  <c r="E159" i="1"/>
  <c r="E158" i="1"/>
  <c r="E157" i="1"/>
  <c r="E156" i="1"/>
  <c r="E155" i="1"/>
  <c r="E154" i="1"/>
  <c r="E153" i="1"/>
  <c r="C160" i="1"/>
  <c r="C159" i="1"/>
  <c r="C158" i="1"/>
  <c r="C157" i="1"/>
  <c r="C156" i="1"/>
  <c r="C155" i="1"/>
  <c r="C154" i="1"/>
  <c r="C153" i="1"/>
  <c r="O154" i="1" l="1"/>
  <c r="O158" i="1"/>
  <c r="O160" i="1"/>
  <c r="O156" i="1"/>
  <c r="O157" i="1"/>
  <c r="O155" i="1"/>
  <c r="O159" i="1"/>
  <c r="I161" i="1"/>
  <c r="J157" i="1" s="1"/>
  <c r="O153" i="1"/>
  <c r="K161" i="1"/>
  <c r="L159" i="1" s="1"/>
  <c r="M161" i="1"/>
  <c r="N156" i="1" s="1"/>
  <c r="G161" i="1"/>
  <c r="H154" i="1" s="1"/>
  <c r="E161" i="1"/>
  <c r="F159" i="1" s="1"/>
  <c r="C161" i="1"/>
  <c r="D154" i="1" s="1"/>
  <c r="J156" i="1" l="1"/>
  <c r="J154" i="1"/>
  <c r="J155" i="1"/>
  <c r="J153" i="1"/>
  <c r="J160" i="1"/>
  <c r="J158" i="1"/>
  <c r="J159" i="1"/>
  <c r="O161" i="1"/>
  <c r="L155" i="1"/>
  <c r="H153" i="1"/>
  <c r="N160" i="1"/>
  <c r="L158" i="1"/>
  <c r="L154" i="1"/>
  <c r="H160" i="1"/>
  <c r="N158" i="1"/>
  <c r="N154" i="1"/>
  <c r="N159" i="1"/>
  <c r="N153" i="1"/>
  <c r="N157" i="1"/>
  <c r="H156" i="1"/>
  <c r="L156" i="1"/>
  <c r="L160" i="1"/>
  <c r="N155" i="1"/>
  <c r="L153" i="1"/>
  <c r="L157" i="1"/>
  <c r="H157" i="1"/>
  <c r="H159" i="1"/>
  <c r="H158" i="1"/>
  <c r="H155" i="1"/>
  <c r="F156" i="1"/>
  <c r="F153" i="1"/>
  <c r="F155" i="1"/>
  <c r="F160" i="1"/>
  <c r="F158" i="1"/>
  <c r="F157" i="1"/>
  <c r="F154" i="1"/>
  <c r="D157" i="1"/>
  <c r="D160" i="1"/>
  <c r="D158" i="1"/>
  <c r="D155" i="1"/>
  <c r="D153" i="1"/>
  <c r="D156" i="1"/>
  <c r="D159" i="1"/>
  <c r="J161" i="1" l="1"/>
  <c r="H161" i="1"/>
  <c r="L161" i="1"/>
  <c r="N161" i="1"/>
  <c r="F161" i="1"/>
  <c r="D161" i="1"/>
  <c r="J135" i="1" l="1"/>
  <c r="J134" i="1"/>
  <c r="J133" i="1"/>
  <c r="J132" i="1"/>
  <c r="J131" i="1"/>
  <c r="J130" i="1"/>
  <c r="J129" i="1"/>
  <c r="J128" i="1"/>
  <c r="J127" i="1"/>
  <c r="J126" i="1"/>
  <c r="J125" i="1"/>
  <c r="J124" i="1"/>
  <c r="I124" i="1"/>
  <c r="C127" i="1"/>
  <c r="D127" i="1"/>
  <c r="E127" i="1"/>
  <c r="F127" i="1"/>
  <c r="G127" i="1"/>
  <c r="H127" i="1"/>
  <c r="I127" i="1"/>
  <c r="G124" i="1"/>
  <c r="G125" i="1"/>
  <c r="G126" i="1"/>
  <c r="G129" i="1"/>
  <c r="G130" i="1"/>
  <c r="G131" i="1"/>
  <c r="G132" i="1"/>
  <c r="G133" i="1"/>
  <c r="G134" i="1"/>
  <c r="G135" i="1"/>
  <c r="C133" i="1"/>
  <c r="D133" i="1"/>
  <c r="E133" i="1"/>
  <c r="F133" i="1"/>
  <c r="H133" i="1"/>
  <c r="I133" i="1"/>
  <c r="C135" i="1"/>
  <c r="D135" i="1"/>
  <c r="E135" i="1"/>
  <c r="F135" i="1"/>
  <c r="H135" i="1"/>
  <c r="I135" i="1"/>
  <c r="O135" i="1"/>
  <c r="BD133" i="1"/>
  <c r="J136" i="1" l="1"/>
  <c r="HH39" i="1"/>
  <c r="GV39" i="1"/>
  <c r="GZ39" i="1" s="1"/>
  <c r="GM39" i="1"/>
  <c r="GF39" i="1"/>
  <c r="GG39" i="1" l="1"/>
  <c r="HE39" i="1" s="1"/>
  <c r="J138" i="1"/>
  <c r="P160" i="1"/>
  <c r="GY39" i="1"/>
  <c r="HS39" i="1"/>
  <c r="GN39" i="1" l="1"/>
  <c r="GJ39" i="1"/>
  <c r="GI39" i="1"/>
  <c r="GH39" i="1"/>
  <c r="HW39" i="1"/>
  <c r="CI101" i="1"/>
  <c r="CI103" i="1"/>
  <c r="CI91" i="1"/>
  <c r="CI90" i="1"/>
  <c r="CI89" i="1"/>
  <c r="CI88" i="1"/>
  <c r="CI87" i="1"/>
  <c r="CI86" i="1"/>
  <c r="CI85" i="1"/>
  <c r="CI77" i="1"/>
  <c r="CM77" i="1" s="1"/>
  <c r="CI76" i="1"/>
  <c r="CM76" i="1" s="1"/>
  <c r="CI102" i="1"/>
  <c r="CM102" i="1" s="1"/>
  <c r="CI82" i="1"/>
  <c r="CM82" i="1" s="1"/>
  <c r="CI97" i="1"/>
  <c r="CM97" i="1" s="1"/>
  <c r="CI74" i="1"/>
  <c r="CI73" i="1"/>
  <c r="CI72" i="1"/>
  <c r="CI71" i="1"/>
  <c r="CI81" i="1"/>
  <c r="CM81" i="1" s="1"/>
  <c r="CI63" i="1"/>
  <c r="CM63" i="1" s="1"/>
  <c r="CI68" i="1"/>
  <c r="CM68" i="1" s="1"/>
  <c r="CI65" i="1"/>
  <c r="CM65" i="1" s="1"/>
  <c r="CI75" i="1"/>
  <c r="CM75" i="1" s="1"/>
  <c r="CI99" i="1"/>
  <c r="CI61" i="1"/>
  <c r="CM61" i="1" s="1"/>
  <c r="CI60" i="1"/>
  <c r="CM60" i="1" s="1"/>
  <c r="CI55" i="1"/>
  <c r="CI64" i="1"/>
  <c r="CM64" i="1" s="1"/>
  <c r="CI49" i="1"/>
  <c r="CM49" i="1" s="1"/>
  <c r="CI54" i="1"/>
  <c r="CI52" i="1"/>
  <c r="CI53" i="1"/>
  <c r="CI51" i="1"/>
  <c r="CI50" i="1"/>
  <c r="CI62" i="1"/>
  <c r="CM62" i="1" s="1"/>
  <c r="CI39" i="1"/>
  <c r="CI59" i="1"/>
  <c r="CI58" i="1"/>
  <c r="CM58" i="1" s="1"/>
  <c r="CI67" i="1"/>
  <c r="CM67" i="1" s="1"/>
  <c r="CI66" i="1"/>
  <c r="CM66" i="1" s="1"/>
  <c r="CI56" i="1"/>
  <c r="CM56" i="1" s="1"/>
  <c r="CI70" i="1"/>
  <c r="CI57" i="1"/>
  <c r="CI45" i="1"/>
  <c r="CI48" i="1"/>
  <c r="CI69" i="1"/>
  <c r="CI42" i="1"/>
  <c r="CI44" i="1"/>
  <c r="CI43" i="1"/>
  <c r="CI46" i="1"/>
  <c r="CI47" i="1"/>
  <c r="CI40" i="1"/>
  <c r="CI37" i="1"/>
  <c r="CI41" i="1"/>
  <c r="CI35" i="1"/>
  <c r="CI31" i="1"/>
  <c r="CI24" i="1"/>
  <c r="CI25" i="1"/>
  <c r="CI26" i="1"/>
  <c r="CI21" i="1"/>
  <c r="CI23" i="1"/>
  <c r="CI18" i="1"/>
  <c r="CI32" i="1"/>
  <c r="CI33" i="1"/>
  <c r="CI38" i="1"/>
  <c r="CI36" i="1"/>
  <c r="CI34" i="1"/>
  <c r="CI28" i="1"/>
  <c r="CI27" i="1"/>
  <c r="CI11" i="1"/>
  <c r="CI16" i="1"/>
  <c r="CI15" i="1"/>
  <c r="CI19" i="1"/>
  <c r="CI14" i="1"/>
  <c r="CI22" i="1"/>
  <c r="CI20" i="1"/>
  <c r="CI17" i="1"/>
  <c r="CI29" i="1"/>
  <c r="CI12" i="1"/>
  <c r="CI13" i="1"/>
  <c r="CI3" i="1"/>
  <c r="CI10" i="1"/>
  <c r="CI9" i="1"/>
  <c r="CI8" i="1"/>
  <c r="CI4" i="1"/>
  <c r="CI7" i="1"/>
  <c r="CI6" i="1"/>
  <c r="CI5" i="1"/>
  <c r="CJ45" i="1"/>
  <c r="CO45" i="1" s="1"/>
  <c r="CJ39" i="1" l="1"/>
  <c r="CS39" i="1"/>
  <c r="CB39" i="1"/>
  <c r="BZ39" i="1"/>
  <c r="BK40" i="1"/>
  <c r="BK47" i="1"/>
  <c r="BK46" i="1"/>
  <c r="BK44" i="1"/>
  <c r="BK39" i="1"/>
  <c r="BK45" i="1"/>
  <c r="BK48" i="1"/>
  <c r="CO39" i="1" l="1"/>
  <c r="U39" i="1"/>
  <c r="Y39" i="1"/>
  <c r="S39" i="1"/>
  <c r="T39" i="1"/>
  <c r="FS39" i="1" l="1"/>
  <c r="FY39" i="1" s="1"/>
  <c r="CC39" i="1"/>
  <c r="C56" i="26" s="1"/>
  <c r="CK39" i="1"/>
  <c r="CM39" i="1" s="1"/>
  <c r="V39" i="1"/>
  <c r="HR39" i="1"/>
  <c r="HP39" i="1"/>
  <c r="HK39" i="1"/>
  <c r="R39" i="1"/>
  <c r="AK39" i="1"/>
  <c r="W39" i="1"/>
  <c r="CR46" i="1" l="1"/>
  <c r="DG46" i="1" s="1"/>
  <c r="FP46" i="1" l="1"/>
  <c r="CL46" i="1"/>
  <c r="CJ46" i="1"/>
  <c r="CO46" i="1" s="1"/>
  <c r="CW46" i="1"/>
  <c r="AJ112" i="1" l="1"/>
  <c r="AF112" i="1" s="1"/>
  <c r="W112" i="1" s="1"/>
  <c r="X113" i="1" s="1"/>
  <c r="R94" i="1" l="1"/>
  <c r="HP94" i="1"/>
  <c r="HR94" i="1"/>
  <c r="HK94" i="1"/>
  <c r="U61" i="1"/>
  <c r="T61" i="1"/>
  <c r="S61" i="1"/>
  <c r="U60" i="1"/>
  <c r="T60" i="1"/>
  <c r="S60" i="1"/>
  <c r="U68" i="1"/>
  <c r="T68" i="1"/>
  <c r="S68" i="1"/>
  <c r="U65" i="1"/>
  <c r="T65" i="1"/>
  <c r="S65" i="1"/>
  <c r="U102" i="1"/>
  <c r="T102" i="1"/>
  <c r="U97" i="1"/>
  <c r="T97" i="1"/>
  <c r="U81" i="1"/>
  <c r="T101" i="1"/>
  <c r="Y101" i="1"/>
  <c r="Y102" i="1"/>
  <c r="Y65" i="1"/>
  <c r="Y68" i="1"/>
  <c r="Y63" i="1"/>
  <c r="Y61" i="1"/>
  <c r="Y60" i="1"/>
  <c r="Y46" i="1"/>
  <c r="Y44" i="1"/>
  <c r="Q64" i="1" l="1"/>
  <c r="Y64" i="1" l="1"/>
  <c r="U63" i="1" l="1"/>
  <c r="U64" i="1"/>
  <c r="T63" i="1"/>
  <c r="T64" i="1"/>
  <c r="S63" i="1"/>
  <c r="S64" i="1"/>
  <c r="CJ29" i="1" l="1"/>
  <c r="CK29" i="1"/>
  <c r="CM29" i="1" s="1"/>
  <c r="BY43" i="1" l="1"/>
  <c r="CB43" i="1" l="1"/>
  <c r="BZ45" i="1"/>
  <c r="BZ41" i="1"/>
  <c r="BZ21" i="1"/>
  <c r="BZ69" i="1"/>
  <c r="BZ23" i="1"/>
  <c r="BZ27" i="1"/>
  <c r="BZ13" i="1"/>
  <c r="BZ16" i="1"/>
  <c r="BZ15" i="1"/>
  <c r="BZ19" i="1"/>
  <c r="BZ36" i="1"/>
  <c r="BZ14" i="1"/>
  <c r="BZ18" i="1"/>
  <c r="BZ38" i="1"/>
  <c r="BZ46" i="1"/>
  <c r="BZ37" i="1"/>
  <c r="BZ40" i="1"/>
  <c r="BZ42" i="1"/>
  <c r="BZ44" i="1"/>
  <c r="BZ31" i="1"/>
  <c r="BZ22" i="1"/>
  <c r="BZ20" i="1"/>
  <c r="BZ17" i="1"/>
  <c r="BZ35" i="1"/>
  <c r="BZ32" i="1"/>
  <c r="BZ47" i="1"/>
  <c r="BZ48" i="1"/>
  <c r="CJ47" i="1"/>
  <c r="CO47" i="1" s="1"/>
  <c r="CJ48" i="1"/>
  <c r="CK36" i="1"/>
  <c r="CM36" i="1" s="1"/>
  <c r="GV41" i="1"/>
  <c r="GG41" i="1" s="1"/>
  <c r="GV68" i="1"/>
  <c r="GV49" i="1"/>
  <c r="GZ49" i="1" s="1"/>
  <c r="GV81" i="1"/>
  <c r="GV65" i="1"/>
  <c r="GZ65" i="1" s="1"/>
  <c r="GV64" i="1"/>
  <c r="GZ64" i="1" s="1"/>
  <c r="HG48" i="1"/>
  <c r="HG45" i="1"/>
  <c r="E14" i="26"/>
  <c r="C14" i="26"/>
  <c r="CR91" i="1"/>
  <c r="CR90" i="1"/>
  <c r="CR89" i="1"/>
  <c r="CR88" i="1"/>
  <c r="CR87" i="1"/>
  <c r="CR86" i="1"/>
  <c r="CR101" i="1"/>
  <c r="CR85" i="1"/>
  <c r="CR74" i="1"/>
  <c r="CR73" i="1"/>
  <c r="CR72" i="1"/>
  <c r="CR71" i="1"/>
  <c r="HW57" i="1"/>
  <c r="GG50" i="1"/>
  <c r="HE50" i="1" s="1"/>
  <c r="GG51" i="1"/>
  <c r="HE51" i="1" s="1"/>
  <c r="GN60" i="1"/>
  <c r="E5" i="26"/>
  <c r="E11" i="26"/>
  <c r="E12" i="26"/>
  <c r="E13" i="26"/>
  <c r="E4" i="26"/>
  <c r="C11" i="26"/>
  <c r="C12" i="26"/>
  <c r="C13" i="26"/>
  <c r="HG44" i="1"/>
  <c r="HG105" i="1"/>
  <c r="CS55" i="1"/>
  <c r="CR55" i="1"/>
  <c r="CS54" i="1"/>
  <c r="CR54" i="1"/>
  <c r="DG54" i="1" s="1"/>
  <c r="CS52" i="1"/>
  <c r="CR52" i="1"/>
  <c r="CS53" i="1"/>
  <c r="CR53" i="1"/>
  <c r="CS51" i="1"/>
  <c r="CR51" i="1"/>
  <c r="CS50" i="1"/>
  <c r="CR50" i="1"/>
  <c r="B137" i="26"/>
  <c r="C137" i="26"/>
  <c r="D137" i="26"/>
  <c r="E137" i="26"/>
  <c r="F137" i="26"/>
  <c r="G137" i="26"/>
  <c r="H137" i="26"/>
  <c r="I137" i="26"/>
  <c r="J137" i="26"/>
  <c r="A138" i="26"/>
  <c r="A139" i="26"/>
  <c r="A140" i="26"/>
  <c r="HH16" i="1"/>
  <c r="HH15" i="1"/>
  <c r="HB2" i="1"/>
  <c r="HH2" i="1" s="1"/>
  <c r="B113" i="26"/>
  <c r="C113" i="26"/>
  <c r="D113" i="26"/>
  <c r="E113" i="26"/>
  <c r="F113" i="26"/>
  <c r="G113" i="26"/>
  <c r="H113" i="26"/>
  <c r="I113" i="26"/>
  <c r="J113" i="26"/>
  <c r="K113" i="26"/>
  <c r="A114" i="26"/>
  <c r="A115" i="26"/>
  <c r="A116" i="26"/>
  <c r="HR55" i="1"/>
  <c r="HR54" i="1"/>
  <c r="HR52" i="1"/>
  <c r="HR53" i="1"/>
  <c r="HR51" i="1"/>
  <c r="HR50" i="1"/>
  <c r="GF53" i="1"/>
  <c r="DG23" i="1"/>
  <c r="CW23" i="1"/>
  <c r="BM77" i="1"/>
  <c r="BL77" i="1"/>
  <c r="CK28" i="1"/>
  <c r="CM28" i="1" s="1"/>
  <c r="CK30" i="1"/>
  <c r="CM30" i="1" s="1"/>
  <c r="GU81" i="1"/>
  <c r="GF81" i="1" s="1"/>
  <c r="HF109" i="1"/>
  <c r="GF54" i="1"/>
  <c r="GF55" i="1"/>
  <c r="GF52" i="1"/>
  <c r="GF50" i="1"/>
  <c r="GF51" i="1"/>
  <c r="GF75" i="1"/>
  <c r="HW75" i="1" s="1"/>
  <c r="GF60" i="1"/>
  <c r="HS60" i="1" s="1"/>
  <c r="GF49" i="1"/>
  <c r="GF68" i="1"/>
  <c r="HS68" i="1" s="1"/>
  <c r="GF64" i="1"/>
  <c r="GZ54" i="1"/>
  <c r="GZ55" i="1"/>
  <c r="GZ52" i="1"/>
  <c r="GZ50" i="1"/>
  <c r="GZ51" i="1"/>
  <c r="GS50" i="1"/>
  <c r="GF65" i="1"/>
  <c r="CK35" i="1"/>
  <c r="CM35" i="1" s="1"/>
  <c r="BL42" i="1"/>
  <c r="BM42" i="1" s="1"/>
  <c r="BK43" i="1"/>
  <c r="BL43" i="1" s="1"/>
  <c r="CR41" i="1"/>
  <c r="DG41" i="1" s="1"/>
  <c r="BM5" i="1"/>
  <c r="BM10" i="1"/>
  <c r="BM8" i="1"/>
  <c r="BM9" i="1"/>
  <c r="BM4" i="1"/>
  <c r="BM6" i="1"/>
  <c r="BM7" i="1"/>
  <c r="BM3" i="1"/>
  <c r="BM12" i="1"/>
  <c r="BM20" i="1"/>
  <c r="BM11" i="1"/>
  <c r="BM14" i="1"/>
  <c r="BM19" i="1"/>
  <c r="BM21" i="1"/>
  <c r="BM22" i="1"/>
  <c r="BM27" i="1"/>
  <c r="BM17" i="1"/>
  <c r="BM15" i="1"/>
  <c r="BM16" i="1"/>
  <c r="BM13" i="1"/>
  <c r="BM29" i="1"/>
  <c r="BM28" i="1"/>
  <c r="BM34" i="1"/>
  <c r="BM33" i="1"/>
  <c r="BM30" i="1"/>
  <c r="BM35" i="1"/>
  <c r="BM23" i="1"/>
  <c r="BM36" i="1"/>
  <c r="BM38" i="1"/>
  <c r="BM18" i="1"/>
  <c r="BM26" i="1"/>
  <c r="BM25" i="1"/>
  <c r="BM41" i="1"/>
  <c r="BM24" i="1"/>
  <c r="BM37" i="1"/>
  <c r="BM32" i="1"/>
  <c r="BM31" i="1"/>
  <c r="BM45" i="1"/>
  <c r="BM48" i="1"/>
  <c r="BM69" i="1"/>
  <c r="BN69" i="1" s="1"/>
  <c r="BM57" i="1"/>
  <c r="BM40" i="1"/>
  <c r="BM44" i="1"/>
  <c r="BM46" i="1"/>
  <c r="BM47" i="1"/>
  <c r="BM56" i="1"/>
  <c r="BM58" i="1"/>
  <c r="BM59" i="1"/>
  <c r="BM62" i="1"/>
  <c r="BM70" i="1"/>
  <c r="BN70" i="1" s="1"/>
  <c r="BM67" i="1"/>
  <c r="BM66" i="1"/>
  <c r="BM99" i="1"/>
  <c r="BM102" i="1"/>
  <c r="BM65" i="1"/>
  <c r="BM64" i="1"/>
  <c r="BM68" i="1"/>
  <c r="BM61" i="1"/>
  <c r="BM51" i="1"/>
  <c r="BM50" i="1"/>
  <c r="BM52" i="1"/>
  <c r="BM55" i="1"/>
  <c r="BM54" i="1"/>
  <c r="BM63" i="1"/>
  <c r="BM49" i="1"/>
  <c r="BM82" i="1"/>
  <c r="BM60" i="1"/>
  <c r="BM53" i="1"/>
  <c r="BM75" i="1"/>
  <c r="BM76" i="1"/>
  <c r="BM81" i="1"/>
  <c r="BM73" i="1"/>
  <c r="BM72" i="1"/>
  <c r="BM74" i="1"/>
  <c r="BM71" i="1"/>
  <c r="BM86" i="1"/>
  <c r="BM85" i="1"/>
  <c r="BM87" i="1"/>
  <c r="BM88" i="1"/>
  <c r="BM91" i="1"/>
  <c r="BM90" i="1"/>
  <c r="BM89" i="1"/>
  <c r="BM97" i="1"/>
  <c r="BM101" i="1"/>
  <c r="BM103" i="1"/>
  <c r="BM2" i="1"/>
  <c r="BL2" i="1"/>
  <c r="BL5" i="1"/>
  <c r="BL10" i="1"/>
  <c r="BL8" i="1"/>
  <c r="BL9" i="1"/>
  <c r="BL4" i="1"/>
  <c r="BL6" i="1"/>
  <c r="BL7" i="1"/>
  <c r="BL3" i="1"/>
  <c r="BL12" i="1"/>
  <c r="BL20" i="1"/>
  <c r="BL11" i="1"/>
  <c r="BL14" i="1"/>
  <c r="BN14" i="1" s="1"/>
  <c r="BL19" i="1"/>
  <c r="BN19" i="1" s="1"/>
  <c r="BL21" i="1"/>
  <c r="BN21" i="1" s="1"/>
  <c r="BL22" i="1"/>
  <c r="BN22" i="1" s="1"/>
  <c r="BL27" i="1"/>
  <c r="BN27" i="1" s="1"/>
  <c r="BL17" i="1"/>
  <c r="BN17" i="1" s="1"/>
  <c r="BL15" i="1"/>
  <c r="BN15" i="1" s="1"/>
  <c r="BL16" i="1"/>
  <c r="BN16" i="1" s="1"/>
  <c r="BL13" i="1"/>
  <c r="BN13" i="1" s="1"/>
  <c r="BL29" i="1"/>
  <c r="BN29" i="1" s="1"/>
  <c r="BL28" i="1"/>
  <c r="BL34" i="1"/>
  <c r="BL33" i="1"/>
  <c r="BL30" i="1"/>
  <c r="BN30" i="1" s="1"/>
  <c r="BL35" i="1"/>
  <c r="BL23" i="1"/>
  <c r="BN23" i="1" s="1"/>
  <c r="BL36" i="1"/>
  <c r="BL38" i="1"/>
  <c r="BL18" i="1"/>
  <c r="BN18" i="1" s="1"/>
  <c r="BL26" i="1"/>
  <c r="BN26" i="1" s="1"/>
  <c r="BL25" i="1"/>
  <c r="BN25" i="1" s="1"/>
  <c r="BL41" i="1"/>
  <c r="BL24" i="1"/>
  <c r="BN24" i="1" s="1"/>
  <c r="BL37" i="1"/>
  <c r="BL32" i="1"/>
  <c r="BN32" i="1" s="1"/>
  <c r="BL31" i="1"/>
  <c r="BL45" i="1"/>
  <c r="BL48" i="1"/>
  <c r="BL69" i="1"/>
  <c r="BL57" i="1"/>
  <c r="BL40" i="1"/>
  <c r="BL44" i="1"/>
  <c r="BL46" i="1"/>
  <c r="BL47" i="1"/>
  <c r="BL56" i="1"/>
  <c r="BL58" i="1"/>
  <c r="BL59" i="1"/>
  <c r="BL62" i="1"/>
  <c r="BL70" i="1"/>
  <c r="BL67" i="1"/>
  <c r="BL66" i="1"/>
  <c r="BL99" i="1"/>
  <c r="BL102" i="1"/>
  <c r="BL65" i="1"/>
  <c r="BL64" i="1"/>
  <c r="BL68" i="1"/>
  <c r="BL61" i="1"/>
  <c r="BL51" i="1"/>
  <c r="BL50" i="1"/>
  <c r="BL52" i="1"/>
  <c r="BL55" i="1"/>
  <c r="BL54" i="1"/>
  <c r="BL63" i="1"/>
  <c r="BL49" i="1"/>
  <c r="BL82" i="1"/>
  <c r="BL60" i="1"/>
  <c r="BL53" i="1"/>
  <c r="BL75" i="1"/>
  <c r="BL76" i="1"/>
  <c r="BL81" i="1"/>
  <c r="BL73" i="1"/>
  <c r="BL72" i="1"/>
  <c r="BL74" i="1"/>
  <c r="BL71" i="1"/>
  <c r="BL86" i="1"/>
  <c r="BL85" i="1"/>
  <c r="BL87" i="1"/>
  <c r="BL88" i="1"/>
  <c r="BL91" i="1"/>
  <c r="BL90" i="1"/>
  <c r="BL89" i="1"/>
  <c r="BL97" i="1"/>
  <c r="BL101" i="1"/>
  <c r="BL103" i="1"/>
  <c r="GF56" i="1"/>
  <c r="HS56" i="1" s="1"/>
  <c r="I134" i="1"/>
  <c r="H134" i="1"/>
  <c r="F134" i="1"/>
  <c r="E134" i="1"/>
  <c r="D134" i="1"/>
  <c r="C134" i="1"/>
  <c r="I132" i="1"/>
  <c r="H132" i="1"/>
  <c r="F132" i="1"/>
  <c r="E132" i="1"/>
  <c r="D132" i="1"/>
  <c r="C132" i="1"/>
  <c r="I131" i="1"/>
  <c r="H131" i="1"/>
  <c r="F131" i="1"/>
  <c r="E131" i="1"/>
  <c r="D131" i="1"/>
  <c r="C131" i="1"/>
  <c r="I130" i="1"/>
  <c r="H130" i="1"/>
  <c r="F130" i="1"/>
  <c r="E130" i="1"/>
  <c r="D130" i="1"/>
  <c r="C130" i="1"/>
  <c r="I129" i="1"/>
  <c r="H129" i="1"/>
  <c r="F129" i="1"/>
  <c r="E129" i="1"/>
  <c r="D129" i="1"/>
  <c r="C129" i="1"/>
  <c r="I128" i="1"/>
  <c r="I125" i="1"/>
  <c r="I126" i="1"/>
  <c r="H128" i="1"/>
  <c r="G128" i="1"/>
  <c r="F128" i="1"/>
  <c r="E128" i="1"/>
  <c r="D128" i="1"/>
  <c r="C128" i="1"/>
  <c r="H126" i="1"/>
  <c r="H124" i="1"/>
  <c r="H125" i="1"/>
  <c r="F126" i="1"/>
  <c r="E126" i="1"/>
  <c r="D126" i="1"/>
  <c r="C126" i="1"/>
  <c r="F125" i="1"/>
  <c r="E125" i="1"/>
  <c r="D125" i="1"/>
  <c r="C125" i="1"/>
  <c r="F124" i="1"/>
  <c r="E124" i="1"/>
  <c r="D124" i="1"/>
  <c r="O140" i="1"/>
  <c r="F216" i="1"/>
  <c r="E216" i="1"/>
  <c r="D216" i="1"/>
  <c r="C216" i="1"/>
  <c r="B216" i="1"/>
  <c r="O139" i="1"/>
  <c r="F215" i="1"/>
  <c r="E215" i="1"/>
  <c r="D215" i="1"/>
  <c r="C215" i="1"/>
  <c r="B215" i="1"/>
  <c r="O138" i="1"/>
  <c r="F214" i="1"/>
  <c r="E214" i="1"/>
  <c r="D214" i="1"/>
  <c r="C214" i="1"/>
  <c r="B214" i="1"/>
  <c r="O137" i="1"/>
  <c r="F213" i="1"/>
  <c r="E213" i="1"/>
  <c r="E211" i="1"/>
  <c r="E212" i="1"/>
  <c r="D213" i="1"/>
  <c r="C213" i="1"/>
  <c r="B213" i="1"/>
  <c r="O136" i="1"/>
  <c r="F212" i="1"/>
  <c r="D212" i="1"/>
  <c r="C212" i="1"/>
  <c r="C211" i="1"/>
  <c r="B212" i="1"/>
  <c r="F211" i="1"/>
  <c r="D211" i="1"/>
  <c r="B211" i="1"/>
  <c r="B207" i="1"/>
  <c r="B206" i="1"/>
  <c r="B205" i="1"/>
  <c r="B204" i="1"/>
  <c r="B203" i="1"/>
  <c r="B202" i="1"/>
  <c r="HI119" i="1"/>
  <c r="B201" i="1"/>
  <c r="HG118" i="1"/>
  <c r="HF118" i="1"/>
  <c r="B200" i="1"/>
  <c r="HI117" i="1"/>
  <c r="B199" i="1"/>
  <c r="HI116" i="1"/>
  <c r="HJ115" i="1" s="1"/>
  <c r="B198" i="1"/>
  <c r="HG115" i="1"/>
  <c r="HF115" i="1"/>
  <c r="HI114" i="1"/>
  <c r="HI113" i="1"/>
  <c r="HG112" i="1"/>
  <c r="HF112" i="1"/>
  <c r="CI110" i="1"/>
  <c r="HU109" i="1"/>
  <c r="HT109" i="1"/>
  <c r="HQ109" i="1"/>
  <c r="HN109" i="1"/>
  <c r="HD109" i="1"/>
  <c r="GX109" i="1"/>
  <c r="GW109" i="1"/>
  <c r="AE109" i="1"/>
  <c r="GX105" i="1"/>
  <c r="GW105" i="1"/>
  <c r="JB103" i="1"/>
  <c r="CS103" i="1"/>
  <c r="CR103" i="1"/>
  <c r="DG103" i="1" s="1"/>
  <c r="BY103" i="1"/>
  <c r="Y103" i="1"/>
  <c r="JB101" i="1"/>
  <c r="JB97" i="1"/>
  <c r="Y97" i="1"/>
  <c r="JB53" i="1"/>
  <c r="HP53" i="1"/>
  <c r="HH53" i="1"/>
  <c r="HK53" i="1" s="1"/>
  <c r="JB89" i="1"/>
  <c r="JB90" i="1"/>
  <c r="JB91" i="1"/>
  <c r="JB88" i="1"/>
  <c r="JB87" i="1"/>
  <c r="JB85" i="1"/>
  <c r="JB86" i="1"/>
  <c r="JB71" i="1"/>
  <c r="JB74" i="1"/>
  <c r="JB72" i="1"/>
  <c r="JB73" i="1"/>
  <c r="JB54" i="1"/>
  <c r="HP54" i="1"/>
  <c r="HH54" i="1"/>
  <c r="HK54" i="1" s="1"/>
  <c r="JB55" i="1"/>
  <c r="HP55" i="1"/>
  <c r="HH55" i="1"/>
  <c r="HK55" i="1" s="1"/>
  <c r="JB52" i="1"/>
  <c r="HP52" i="1"/>
  <c r="HH52" i="1"/>
  <c r="HK52" i="1" s="1"/>
  <c r="JB50" i="1"/>
  <c r="HP50" i="1"/>
  <c r="HH50" i="1"/>
  <c r="HK50" i="1" s="1"/>
  <c r="JB51" i="1"/>
  <c r="HP51" i="1"/>
  <c r="HH51" i="1"/>
  <c r="HK51" i="1" s="1"/>
  <c r="HH60" i="1"/>
  <c r="GY60" i="1"/>
  <c r="GT60" i="1"/>
  <c r="GM60" i="1"/>
  <c r="JB68" i="1"/>
  <c r="HH68" i="1"/>
  <c r="GT68" i="1"/>
  <c r="GM68" i="1"/>
  <c r="HH64" i="1"/>
  <c r="GT64" i="1"/>
  <c r="GM64" i="1"/>
  <c r="HH65" i="1"/>
  <c r="GM65" i="1"/>
  <c r="AP65" i="1"/>
  <c r="AO65" i="1"/>
  <c r="AN65" i="1"/>
  <c r="AM65" i="1"/>
  <c r="AL65" i="1"/>
  <c r="JB102" i="1"/>
  <c r="HH49" i="1"/>
  <c r="GT49" i="1"/>
  <c r="GM49" i="1"/>
  <c r="R49" i="1"/>
  <c r="Y49" i="1"/>
  <c r="U49" i="1"/>
  <c r="T49" i="1"/>
  <c r="S49" i="1"/>
  <c r="HH81" i="1"/>
  <c r="GT81" i="1"/>
  <c r="GM81" i="1"/>
  <c r="Y81" i="1"/>
  <c r="HC75" i="1"/>
  <c r="GY75" i="1"/>
  <c r="GT75" i="1"/>
  <c r="GL75" i="1"/>
  <c r="BY75" i="1"/>
  <c r="AS75" i="1"/>
  <c r="AP75" i="1"/>
  <c r="AO75" i="1"/>
  <c r="V75" i="1"/>
  <c r="Y75" i="1"/>
  <c r="U75" i="1"/>
  <c r="T75" i="1"/>
  <c r="S75" i="1"/>
  <c r="HH63" i="1"/>
  <c r="GV63" i="1"/>
  <c r="GT63" i="1"/>
  <c r="GM63" i="1"/>
  <c r="BY63" i="1"/>
  <c r="R63" i="1"/>
  <c r="CS99" i="1"/>
  <c r="CR99" i="1"/>
  <c r="BY99" i="1"/>
  <c r="AS99" i="1"/>
  <c r="Y99" i="1"/>
  <c r="U99" i="1"/>
  <c r="T99" i="1"/>
  <c r="P99" i="1"/>
  <c r="S99" i="1" s="1"/>
  <c r="HH66" i="1"/>
  <c r="GV66" i="1"/>
  <c r="GT66" i="1"/>
  <c r="GM66" i="1"/>
  <c r="GF66" i="1"/>
  <c r="BY66" i="1"/>
  <c r="AS66" i="1"/>
  <c r="Y66" i="1"/>
  <c r="U66" i="1"/>
  <c r="T66" i="1"/>
  <c r="P66" i="1"/>
  <c r="HC67" i="1"/>
  <c r="GT67" i="1"/>
  <c r="GM67" i="1"/>
  <c r="GF67" i="1"/>
  <c r="BY67" i="1"/>
  <c r="Y67" i="1"/>
  <c r="U67" i="1"/>
  <c r="T67" i="1"/>
  <c r="S67" i="1"/>
  <c r="HH70" i="1"/>
  <c r="GV70" i="1"/>
  <c r="GP70" i="1"/>
  <c r="GP109" i="1" s="1"/>
  <c r="GK70" i="1"/>
  <c r="GM70" i="1" s="1"/>
  <c r="CS70" i="1"/>
  <c r="BY70" i="1"/>
  <c r="AK70" i="1"/>
  <c r="Y70" i="1"/>
  <c r="S70" i="1"/>
  <c r="R70" i="1"/>
  <c r="Q70" i="1"/>
  <c r="U70" i="1" s="1"/>
  <c r="HC62" i="1"/>
  <c r="GV62" i="1"/>
  <c r="GZ62" i="1" s="1"/>
  <c r="GU62" i="1"/>
  <c r="GF62" i="1" s="1"/>
  <c r="GT62" i="1"/>
  <c r="GM62" i="1"/>
  <c r="BY62" i="1"/>
  <c r="Y62" i="1"/>
  <c r="S62" i="1"/>
  <c r="Q62" i="1"/>
  <c r="HH59" i="1"/>
  <c r="GV59" i="1"/>
  <c r="GU59" i="1"/>
  <c r="GF59" i="1" s="1"/>
  <c r="HS59" i="1" s="1"/>
  <c r="GT59" i="1"/>
  <c r="GM59" i="1"/>
  <c r="CS59" i="1"/>
  <c r="CR59" i="1"/>
  <c r="BY59" i="1"/>
  <c r="Y59" i="1"/>
  <c r="U59" i="1"/>
  <c r="T59" i="1"/>
  <c r="S59" i="1"/>
  <c r="HC58" i="1"/>
  <c r="GY58" i="1"/>
  <c r="GT58" i="1"/>
  <c r="GM58" i="1"/>
  <c r="BY58" i="1"/>
  <c r="Y58" i="1"/>
  <c r="U58" i="1"/>
  <c r="T58" i="1"/>
  <c r="S58" i="1"/>
  <c r="HC56" i="1"/>
  <c r="GV56" i="1"/>
  <c r="GZ56" i="1" s="1"/>
  <c r="GT56" i="1"/>
  <c r="GM56" i="1"/>
  <c r="BY56" i="1"/>
  <c r="AM56" i="1"/>
  <c r="Y56" i="1"/>
  <c r="U56" i="1"/>
  <c r="T56" i="1"/>
  <c r="S56" i="1"/>
  <c r="HB47" i="1"/>
  <c r="HH47" i="1" s="1"/>
  <c r="GV47" i="1"/>
  <c r="GT47" i="1"/>
  <c r="GM47" i="1"/>
  <c r="CS47" i="1"/>
  <c r="BY47" i="1"/>
  <c r="AS47" i="1"/>
  <c r="AF47" i="1"/>
  <c r="AD47" i="1" s="1"/>
  <c r="Y47" i="1"/>
  <c r="U47" i="1"/>
  <c r="T47" i="1"/>
  <c r="P47" i="1"/>
  <c r="HH46" i="1"/>
  <c r="GV46" i="1"/>
  <c r="GT46" i="1"/>
  <c r="GT28" i="1"/>
  <c r="GT12" i="1"/>
  <c r="GT33" i="1"/>
  <c r="GT24" i="1"/>
  <c r="GT41" i="1"/>
  <c r="GT36" i="1"/>
  <c r="GT11" i="1"/>
  <c r="GT35" i="1"/>
  <c r="GT38" i="1"/>
  <c r="GT32" i="1"/>
  <c r="GT30" i="1"/>
  <c r="GT17" i="1"/>
  <c r="GT20" i="1"/>
  <c r="GT22" i="1"/>
  <c r="GT31" i="1"/>
  <c r="GT69" i="1"/>
  <c r="GT57" i="1"/>
  <c r="GT37" i="1"/>
  <c r="GT40" i="1"/>
  <c r="GT18" i="1"/>
  <c r="GT14" i="1"/>
  <c r="GT43" i="1"/>
  <c r="GT19" i="1"/>
  <c r="GT15" i="1"/>
  <c r="GT16" i="1"/>
  <c r="GT13" i="1"/>
  <c r="GT27" i="1"/>
  <c r="GT23" i="1"/>
  <c r="GT42" i="1"/>
  <c r="GT21" i="1"/>
  <c r="GT48" i="1"/>
  <c r="GT44" i="1"/>
  <c r="GT29" i="1"/>
  <c r="GT26" i="1"/>
  <c r="GT25" i="1"/>
  <c r="GT34" i="1"/>
  <c r="GM46" i="1"/>
  <c r="GF46" i="1"/>
  <c r="CS46" i="1"/>
  <c r="BY46" i="1"/>
  <c r="AN46" i="1"/>
  <c r="U46" i="1"/>
  <c r="T46" i="1"/>
  <c r="S46" i="1"/>
  <c r="HH44" i="1"/>
  <c r="GV44" i="1"/>
  <c r="GM44" i="1"/>
  <c r="GF44" i="1"/>
  <c r="CS44" i="1"/>
  <c r="BY44" i="1"/>
  <c r="AO44" i="1"/>
  <c r="U44" i="1"/>
  <c r="T44" i="1"/>
  <c r="S44" i="1"/>
  <c r="HH40" i="1"/>
  <c r="GV40" i="1"/>
  <c r="GZ40" i="1" s="1"/>
  <c r="GM40" i="1"/>
  <c r="GF40" i="1"/>
  <c r="BY40" i="1"/>
  <c r="AS40" i="1"/>
  <c r="Y40" i="1"/>
  <c r="S40" i="1"/>
  <c r="Q40" i="1"/>
  <c r="T40" i="1" s="1"/>
  <c r="HH57" i="1"/>
  <c r="GY57" i="1"/>
  <c r="GM57" i="1"/>
  <c r="GF57" i="1"/>
  <c r="CS57" i="1"/>
  <c r="CR57" i="1"/>
  <c r="DG57" i="1" s="1"/>
  <c r="BY57" i="1"/>
  <c r="Y57" i="1"/>
  <c r="U57" i="1"/>
  <c r="T57" i="1"/>
  <c r="S57" i="1"/>
  <c r="HH69" i="1"/>
  <c r="GV69" i="1"/>
  <c r="GZ69" i="1" s="1"/>
  <c r="GM69" i="1"/>
  <c r="GF69" i="1"/>
  <c r="CS69" i="1"/>
  <c r="CR69" i="1"/>
  <c r="DG69" i="1" s="1"/>
  <c r="BY69" i="1"/>
  <c r="W69" i="1"/>
  <c r="Y69" i="1"/>
  <c r="S69" i="1"/>
  <c r="R69" i="1"/>
  <c r="Q69" i="1"/>
  <c r="HH48" i="1"/>
  <c r="GV48" i="1"/>
  <c r="GZ48" i="1" s="1"/>
  <c r="GM48" i="1"/>
  <c r="GF48" i="1"/>
  <c r="CS48" i="1"/>
  <c r="BY48" i="1"/>
  <c r="Y48" i="1"/>
  <c r="U48" i="1"/>
  <c r="T48" i="1"/>
  <c r="S48" i="1"/>
  <c r="HR45" i="1"/>
  <c r="HP45" i="1"/>
  <c r="HH45" i="1"/>
  <c r="HK45" i="1" s="1"/>
  <c r="GV45" i="1"/>
  <c r="GM45" i="1"/>
  <c r="GF45" i="1"/>
  <c r="BY45" i="1"/>
  <c r="AO45" i="1"/>
  <c r="AN45" i="1"/>
  <c r="Y45" i="1"/>
  <c r="W45" i="1"/>
  <c r="V45" i="1"/>
  <c r="U45" i="1"/>
  <c r="T45" i="1"/>
  <c r="S45" i="1"/>
  <c r="R45" i="1"/>
  <c r="HH31" i="1"/>
  <c r="GV31" i="1"/>
  <c r="GM31" i="1"/>
  <c r="GF31" i="1"/>
  <c r="GN31" i="1" s="1"/>
  <c r="CS31" i="1"/>
  <c r="CN31" i="1"/>
  <c r="BY31" i="1"/>
  <c r="AS31" i="1"/>
  <c r="AP31" i="1"/>
  <c r="AO31" i="1"/>
  <c r="AN31" i="1"/>
  <c r="AM31" i="1"/>
  <c r="HH32" i="1"/>
  <c r="GV32" i="1"/>
  <c r="GM32" i="1"/>
  <c r="GF32" i="1"/>
  <c r="GN32" i="1" s="1"/>
  <c r="CS32" i="1"/>
  <c r="CN32" i="1"/>
  <c r="BY32" i="1"/>
  <c r="AS32" i="1"/>
  <c r="AP32" i="1"/>
  <c r="AO32" i="1"/>
  <c r="AK32" i="1"/>
  <c r="V32" i="1"/>
  <c r="T32" i="1"/>
  <c r="S32" i="1"/>
  <c r="R32" i="1"/>
  <c r="HC37" i="1"/>
  <c r="GV37" i="1"/>
  <c r="GZ37" i="1" s="1"/>
  <c r="GM37" i="1"/>
  <c r="CS37" i="1"/>
  <c r="CN37" i="1"/>
  <c r="BY37" i="1"/>
  <c r="AS37" i="1"/>
  <c r="Y37" i="1"/>
  <c r="U37" i="1"/>
  <c r="T37" i="1"/>
  <c r="P37" i="1"/>
  <c r="S37" i="1" s="1"/>
  <c r="HC24" i="1"/>
  <c r="GV24" i="1"/>
  <c r="GM24" i="1"/>
  <c r="GF24" i="1"/>
  <c r="CS24" i="1"/>
  <c r="CR24" i="1"/>
  <c r="DG24" i="1" s="1"/>
  <c r="CN24" i="1"/>
  <c r="CK24" i="1"/>
  <c r="CM24" i="1" s="1"/>
  <c r="BY24" i="1"/>
  <c r="V24" i="1"/>
  <c r="U24" i="1"/>
  <c r="P24" i="1"/>
  <c r="O24" i="1"/>
  <c r="T24" i="1" s="1"/>
  <c r="HH41" i="1"/>
  <c r="GU41" i="1"/>
  <c r="GM41" i="1"/>
  <c r="CS41" i="1"/>
  <c r="CN41" i="1"/>
  <c r="BY41" i="1"/>
  <c r="U41" i="1"/>
  <c r="AF41" i="1"/>
  <c r="AD41" i="1" s="1"/>
  <c r="R41" i="1"/>
  <c r="O41" i="1"/>
  <c r="AS41" i="1" s="1"/>
  <c r="HH43" i="1"/>
  <c r="GV43" i="1"/>
  <c r="GM43" i="1"/>
  <c r="GF43" i="1"/>
  <c r="CN43" i="1"/>
  <c r="AS43" i="1"/>
  <c r="AK43" i="1"/>
  <c r="Y43" i="1"/>
  <c r="X43" i="1"/>
  <c r="U43" i="1"/>
  <c r="T43" i="1"/>
  <c r="P43" i="1"/>
  <c r="S43" i="1" s="1"/>
  <c r="HH42" i="1"/>
  <c r="GV42" i="1"/>
  <c r="GM42" i="1"/>
  <c r="CS42" i="1"/>
  <c r="CR42" i="1"/>
  <c r="CN42" i="1"/>
  <c r="BY42" i="1"/>
  <c r="AS42" i="1"/>
  <c r="HR42" i="1"/>
  <c r="Y42" i="1"/>
  <c r="U42" i="1"/>
  <c r="T42" i="1"/>
  <c r="P42" i="1"/>
  <c r="HH25" i="1"/>
  <c r="GV25" i="1"/>
  <c r="GM25" i="1"/>
  <c r="GF25" i="1"/>
  <c r="GN25" i="1" s="1"/>
  <c r="CN25" i="1"/>
  <c r="CK25" i="1"/>
  <c r="CM25" i="1" s="1"/>
  <c r="CJ25" i="1"/>
  <c r="BY25" i="1"/>
  <c r="BI25" i="1"/>
  <c r="AS25" i="1"/>
  <c r="HH26" i="1"/>
  <c r="GV26" i="1"/>
  <c r="GM26" i="1"/>
  <c r="GF26" i="1"/>
  <c r="GN26" i="1" s="1"/>
  <c r="CN26" i="1"/>
  <c r="CK26" i="1"/>
  <c r="CM26" i="1" s="1"/>
  <c r="CJ26" i="1"/>
  <c r="BY26" i="1"/>
  <c r="BI26" i="1"/>
  <c r="AS26" i="1"/>
  <c r="HR26" i="1"/>
  <c r="T26" i="1"/>
  <c r="S26" i="1"/>
  <c r="HH18" i="1"/>
  <c r="GV18" i="1"/>
  <c r="GZ18" i="1" s="1"/>
  <c r="GM18" i="1"/>
  <c r="GF18" i="1"/>
  <c r="GN18" i="1" s="1"/>
  <c r="CW18" i="1"/>
  <c r="CN18" i="1"/>
  <c r="CK18" i="1"/>
  <c r="CM18" i="1" s="1"/>
  <c r="CJ18" i="1"/>
  <c r="BY18" i="1"/>
  <c r="BI18" i="1"/>
  <c r="AS18" i="1"/>
  <c r="HP18" i="1"/>
  <c r="Y18" i="1"/>
  <c r="U18" i="1"/>
  <c r="T18" i="1"/>
  <c r="S18" i="1"/>
  <c r="HH38" i="1"/>
  <c r="GV38" i="1"/>
  <c r="GZ38" i="1" s="1"/>
  <c r="GM38" i="1"/>
  <c r="GF38" i="1"/>
  <c r="CS38" i="1"/>
  <c r="CN38" i="1"/>
  <c r="AS38" i="1"/>
  <c r="Y38" i="1"/>
  <c r="U38" i="1"/>
  <c r="T38" i="1"/>
  <c r="S38" i="1"/>
  <c r="HC36" i="1"/>
  <c r="HH36" i="1" s="1"/>
  <c r="GV36" i="1"/>
  <c r="GU36" i="1"/>
  <c r="GF36" i="1" s="1"/>
  <c r="GM36" i="1"/>
  <c r="CS36" i="1"/>
  <c r="CN36" i="1"/>
  <c r="CB36" i="1"/>
  <c r="CC36" i="1" s="1"/>
  <c r="AS36" i="1"/>
  <c r="Y36" i="1"/>
  <c r="U36" i="1"/>
  <c r="T36" i="1"/>
  <c r="P36" i="1"/>
  <c r="S36" i="1" s="1"/>
  <c r="HH23" i="1"/>
  <c r="GV23" i="1"/>
  <c r="GM23" i="1"/>
  <c r="GF23" i="1"/>
  <c r="GN23" i="1" s="1"/>
  <c r="CS23" i="1"/>
  <c r="CK23" i="1"/>
  <c r="CM23" i="1" s="1"/>
  <c r="CJ23" i="1"/>
  <c r="BY23" i="1"/>
  <c r="BI23" i="1"/>
  <c r="AS23" i="1"/>
  <c r="Y23" i="1"/>
  <c r="U23" i="1"/>
  <c r="T23" i="1"/>
  <c r="P23" i="1"/>
  <c r="HH35" i="1"/>
  <c r="GV35" i="1"/>
  <c r="GM35" i="1"/>
  <c r="GF35" i="1"/>
  <c r="GN35" i="1" s="1"/>
  <c r="CS35" i="1"/>
  <c r="CN35" i="1"/>
  <c r="CJ35" i="1"/>
  <c r="BY35" i="1"/>
  <c r="BI35" i="1"/>
  <c r="AS35" i="1"/>
  <c r="HP35" i="1"/>
  <c r="Y35" i="1"/>
  <c r="U35" i="1"/>
  <c r="T35" i="1"/>
  <c r="P35" i="1"/>
  <c r="S35" i="1" s="1"/>
  <c r="HH30" i="1"/>
  <c r="GV30" i="1"/>
  <c r="GG30" i="1" s="1"/>
  <c r="GM30" i="1"/>
  <c r="GF30" i="1"/>
  <c r="GN30" i="1" s="1"/>
  <c r="CS30" i="1"/>
  <c r="CN30" i="1"/>
  <c r="BY30" i="1"/>
  <c r="BI30" i="1"/>
  <c r="U30" i="1"/>
  <c r="R30" i="1"/>
  <c r="O30" i="1"/>
  <c r="Y30" i="1" s="1"/>
  <c r="HH33" i="1"/>
  <c r="GV33" i="1"/>
  <c r="GM33" i="1"/>
  <c r="GF33" i="1"/>
  <c r="CS33" i="1"/>
  <c r="CN33" i="1"/>
  <c r="CJ33" i="1"/>
  <c r="BY33" i="1"/>
  <c r="BI33" i="1"/>
  <c r="AS33" i="1"/>
  <c r="AI33" i="1"/>
  <c r="AI109" i="1" s="1"/>
  <c r="Y33" i="1"/>
  <c r="U33" i="1"/>
  <c r="T33" i="1"/>
  <c r="P33" i="1"/>
  <c r="HH34" i="1"/>
  <c r="GV34" i="1"/>
  <c r="GM34" i="1"/>
  <c r="GF34" i="1"/>
  <c r="GN34" i="1" s="1"/>
  <c r="CS34" i="1"/>
  <c r="CN34" i="1"/>
  <c r="CJ34" i="1"/>
  <c r="BY34" i="1"/>
  <c r="BI34" i="1"/>
  <c r="AS34" i="1"/>
  <c r="Y34" i="1"/>
  <c r="U34" i="1"/>
  <c r="T34" i="1"/>
  <c r="S34" i="1"/>
  <c r="HH28" i="1"/>
  <c r="GV28" i="1"/>
  <c r="GM28" i="1"/>
  <c r="CS28" i="1"/>
  <c r="CN28" i="1"/>
  <c r="CJ28" i="1"/>
  <c r="BY28" i="1"/>
  <c r="AS28" i="1"/>
  <c r="Y28" i="1"/>
  <c r="U28" i="1"/>
  <c r="T28" i="1"/>
  <c r="S28" i="1"/>
  <c r="HH29" i="1"/>
  <c r="GV29" i="1"/>
  <c r="GG29" i="1" s="1"/>
  <c r="GM29" i="1"/>
  <c r="GF29" i="1"/>
  <c r="GN29" i="1" s="1"/>
  <c r="CS29" i="1"/>
  <c r="CN29" i="1"/>
  <c r="BY29" i="1"/>
  <c r="BI29" i="1"/>
  <c r="AS29" i="1"/>
  <c r="HR29" i="1"/>
  <c r="Y29" i="1"/>
  <c r="U29" i="1"/>
  <c r="T29" i="1"/>
  <c r="S29" i="1"/>
  <c r="HH13" i="1"/>
  <c r="HR13" i="1"/>
  <c r="GV13" i="1"/>
  <c r="GM13" i="1"/>
  <c r="GN13" i="1"/>
  <c r="DG13" i="1"/>
  <c r="CN13" i="1"/>
  <c r="CK13" i="1"/>
  <c r="CM13" i="1" s="1"/>
  <c r="CJ13" i="1"/>
  <c r="BY13" i="1"/>
  <c r="AS13" i="1"/>
  <c r="Y13" i="1"/>
  <c r="U13" i="1"/>
  <c r="T13" i="1"/>
  <c r="P13" i="1"/>
  <c r="GV16" i="1"/>
  <c r="GZ16" i="1" s="1"/>
  <c r="GM16" i="1"/>
  <c r="GN16" i="1"/>
  <c r="DG16" i="1"/>
  <c r="CN16" i="1"/>
  <c r="CK16" i="1"/>
  <c r="CM16" i="1" s="1"/>
  <c r="CJ16" i="1"/>
  <c r="BY16" i="1"/>
  <c r="GV15" i="1"/>
  <c r="GM15" i="1"/>
  <c r="DG15" i="1"/>
  <c r="CN15" i="1"/>
  <c r="CK15" i="1"/>
  <c r="CM15" i="1" s="1"/>
  <c r="CK3" i="1"/>
  <c r="CM3" i="1" s="1"/>
  <c r="CJ15" i="1"/>
  <c r="BY15" i="1"/>
  <c r="AS15" i="1"/>
  <c r="T15" i="1"/>
  <c r="P15" i="1"/>
  <c r="HH17" i="1"/>
  <c r="GV17" i="1"/>
  <c r="GZ17" i="1" s="1"/>
  <c r="GM17" i="1"/>
  <c r="GN17" i="1"/>
  <c r="CN17" i="1"/>
  <c r="CK17" i="1"/>
  <c r="CM17" i="1" s="1"/>
  <c r="CJ17" i="1"/>
  <c r="BY17" i="1"/>
  <c r="AS17" i="1"/>
  <c r="AP17" i="1"/>
  <c r="Y17" i="1"/>
  <c r="U17" i="1"/>
  <c r="T17" i="1"/>
  <c r="S17" i="1"/>
  <c r="HB27" i="1"/>
  <c r="HH27" i="1" s="1"/>
  <c r="GV27" i="1"/>
  <c r="GM27" i="1"/>
  <c r="CS27" i="1"/>
  <c r="CN27" i="1"/>
  <c r="CK27" i="1"/>
  <c r="CM27" i="1" s="1"/>
  <c r="CJ27" i="1"/>
  <c r="BY27" i="1"/>
  <c r="AR27" i="1"/>
  <c r="AS27" i="1" s="1"/>
  <c r="V27" i="1"/>
  <c r="Y27" i="1"/>
  <c r="U27" i="1"/>
  <c r="T27" i="1"/>
  <c r="S27" i="1"/>
  <c r="HB22" i="1"/>
  <c r="HH22" i="1" s="1"/>
  <c r="GV22" i="1"/>
  <c r="GM22" i="1"/>
  <c r="GN22" i="1"/>
  <c r="CS22" i="1"/>
  <c r="CN22" i="1"/>
  <c r="CK22" i="1"/>
  <c r="CM22" i="1" s="1"/>
  <c r="CJ22" i="1"/>
  <c r="BY22" i="1"/>
  <c r="AS22" i="1"/>
  <c r="AK22" i="1"/>
  <c r="Y22" i="1"/>
  <c r="U22" i="1"/>
  <c r="T22" i="1"/>
  <c r="S22" i="1"/>
  <c r="HH21" i="1"/>
  <c r="GV21" i="1"/>
  <c r="GG21" i="1" s="1"/>
  <c r="GM21" i="1"/>
  <c r="GF21" i="1"/>
  <c r="GN21" i="1" s="1"/>
  <c r="DG21" i="1"/>
  <c r="CS21" i="1"/>
  <c r="CN21" i="1"/>
  <c r="CK21" i="1"/>
  <c r="CM21" i="1" s="1"/>
  <c r="CJ21" i="1"/>
  <c r="BY21" i="1"/>
  <c r="BI21" i="1"/>
  <c r="U21" i="1"/>
  <c r="O21" i="1"/>
  <c r="Y21" i="1" s="1"/>
  <c r="HH19" i="1"/>
  <c r="GV19" i="1"/>
  <c r="GZ19" i="1" s="1"/>
  <c r="GM19" i="1"/>
  <c r="GN19" i="1"/>
  <c r="CS19" i="1"/>
  <c r="CN19" i="1"/>
  <c r="CK19" i="1"/>
  <c r="CM19" i="1" s="1"/>
  <c r="CJ19" i="1"/>
  <c r="BY19" i="1"/>
  <c r="AS19" i="1"/>
  <c r="AM19" i="1"/>
  <c r="Y19" i="1"/>
  <c r="U19" i="1"/>
  <c r="T19" i="1"/>
  <c r="P19" i="1"/>
  <c r="S19" i="1" s="1"/>
  <c r="HH14" i="1"/>
  <c r="GV14" i="1"/>
  <c r="GM14" i="1"/>
  <c r="GN14" i="1"/>
  <c r="DG14" i="1"/>
  <c r="CN14" i="1"/>
  <c r="CK14" i="1"/>
  <c r="CM14" i="1" s="1"/>
  <c r="CJ14" i="1"/>
  <c r="BY14" i="1"/>
  <c r="AS14" i="1"/>
  <c r="Y14" i="1"/>
  <c r="U14" i="1"/>
  <c r="T14" i="1"/>
  <c r="S14" i="1"/>
  <c r="HH11" i="1"/>
  <c r="GV11" i="1"/>
  <c r="GM11" i="1"/>
  <c r="GN11" i="1"/>
  <c r="DG11" i="1"/>
  <c r="CN11" i="1"/>
  <c r="CK11" i="1"/>
  <c r="CM11" i="1" s="1"/>
  <c r="CJ11" i="1"/>
  <c r="BY11" i="1"/>
  <c r="AS11" i="1"/>
  <c r="W11" i="1"/>
  <c r="Y11" i="1"/>
  <c r="U11" i="1"/>
  <c r="T11" i="1"/>
  <c r="S11" i="1"/>
  <c r="HB20" i="1"/>
  <c r="HH20" i="1" s="1"/>
  <c r="GV20" i="1"/>
  <c r="GM20" i="1"/>
  <c r="GN20" i="1"/>
  <c r="DG20" i="1"/>
  <c r="CN20" i="1"/>
  <c r="CK20" i="1"/>
  <c r="CM20" i="1" s="1"/>
  <c r="CJ20" i="1"/>
  <c r="BY20" i="1"/>
  <c r="AS20" i="1"/>
  <c r="AQ20" i="1"/>
  <c r="HR20" i="1"/>
  <c r="Y20" i="1"/>
  <c r="U20" i="1"/>
  <c r="T20" i="1"/>
  <c r="S20" i="1"/>
  <c r="HB12" i="1"/>
  <c r="HH12" i="1" s="1"/>
  <c r="GV12" i="1"/>
  <c r="GZ12" i="1" s="1"/>
  <c r="GM12" i="1"/>
  <c r="GN12" i="1"/>
  <c r="CN12" i="1"/>
  <c r="CK12" i="1"/>
  <c r="CM12" i="1" s="1"/>
  <c r="CJ12" i="1"/>
  <c r="BY12" i="1"/>
  <c r="AS12" i="1"/>
  <c r="AK12" i="1"/>
  <c r="Y12" i="1"/>
  <c r="U12" i="1"/>
  <c r="T12" i="1"/>
  <c r="S12" i="1"/>
  <c r="HH3" i="1"/>
  <c r="GV3" i="1"/>
  <c r="GZ3" i="1" s="1"/>
  <c r="GT3" i="1"/>
  <c r="GN3" i="1"/>
  <c r="GM3" i="1"/>
  <c r="DG3" i="1"/>
  <c r="CJ3" i="1"/>
  <c r="CO3" i="1" s="1"/>
  <c r="AS3" i="1"/>
  <c r="HP3" i="1"/>
  <c r="Y3" i="1"/>
  <c r="U3" i="1"/>
  <c r="T3" i="1"/>
  <c r="P3" i="1"/>
  <c r="HH7" i="1"/>
  <c r="GV7" i="1"/>
  <c r="GZ7" i="1" s="1"/>
  <c r="GT7" i="1"/>
  <c r="GN7" i="1"/>
  <c r="GM7" i="1"/>
  <c r="DG7" i="1"/>
  <c r="CK7" i="1"/>
  <c r="CM7" i="1" s="1"/>
  <c r="CJ7" i="1"/>
  <c r="AS7" i="1"/>
  <c r="AK7" i="1"/>
  <c r="HH6" i="1"/>
  <c r="GV6" i="1"/>
  <c r="GT6" i="1"/>
  <c r="GN6" i="1"/>
  <c r="GM6" i="1"/>
  <c r="DG6" i="1"/>
  <c r="CK6" i="1"/>
  <c r="CM6" i="1" s="1"/>
  <c r="CJ6" i="1"/>
  <c r="AS6" i="1"/>
  <c r="T6" i="1"/>
  <c r="P6" i="1"/>
  <c r="S6" i="1" s="1"/>
  <c r="HH4" i="1"/>
  <c r="GV4" i="1"/>
  <c r="GZ4" i="1" s="1"/>
  <c r="GT4" i="1"/>
  <c r="GN4" i="1"/>
  <c r="GM4" i="1"/>
  <c r="DG4" i="1"/>
  <c r="CK4" i="1"/>
  <c r="CM4" i="1" s="1"/>
  <c r="CJ4" i="1"/>
  <c r="Y4" i="1"/>
  <c r="U4" i="1"/>
  <c r="T4" i="1"/>
  <c r="P4" i="1"/>
  <c r="HB9" i="1"/>
  <c r="HH9" i="1" s="1"/>
  <c r="GV9" i="1"/>
  <c r="GZ9" i="1" s="1"/>
  <c r="GT9" i="1"/>
  <c r="GN9" i="1"/>
  <c r="GM9" i="1"/>
  <c r="DG9" i="1"/>
  <c r="CK9" i="1"/>
  <c r="CM9" i="1" s="1"/>
  <c r="CJ9" i="1"/>
  <c r="CO9" i="1" s="1"/>
  <c r="AS9" i="1"/>
  <c r="AQ9" i="1"/>
  <c r="HP9" i="1"/>
  <c r="Y9" i="1"/>
  <c r="U9" i="1"/>
  <c r="T9" i="1"/>
  <c r="S9" i="1"/>
  <c r="HB8" i="1"/>
  <c r="HH8" i="1" s="1"/>
  <c r="GV8" i="1"/>
  <c r="GZ8" i="1" s="1"/>
  <c r="GT8" i="1"/>
  <c r="GN8" i="1"/>
  <c r="GM8" i="1"/>
  <c r="DG8" i="1"/>
  <c r="CK8" i="1"/>
  <c r="CM8" i="1" s="1"/>
  <c r="CJ8" i="1"/>
  <c r="HB10" i="1"/>
  <c r="GV10" i="1"/>
  <c r="GT10" i="1"/>
  <c r="GN10" i="1"/>
  <c r="GM10" i="1"/>
  <c r="DG10" i="1"/>
  <c r="CK10" i="1"/>
  <c r="CM10" i="1" s="1"/>
  <c r="CJ10" i="1"/>
  <c r="U10" i="1"/>
  <c r="O10" i="1"/>
  <c r="Y10" i="1" s="1"/>
  <c r="HB5" i="1"/>
  <c r="GV5" i="1"/>
  <c r="GZ5" i="1" s="1"/>
  <c r="GT5" i="1"/>
  <c r="GN5" i="1"/>
  <c r="GM5" i="1"/>
  <c r="DG5" i="1"/>
  <c r="CK5" i="1"/>
  <c r="CM5" i="1" s="1"/>
  <c r="CJ5" i="1"/>
  <c r="CO5" i="1" s="1"/>
  <c r="AS5" i="1"/>
  <c r="Y5" i="1"/>
  <c r="U5" i="1"/>
  <c r="T5" i="1"/>
  <c r="S5" i="1"/>
  <c r="GV2" i="1"/>
  <c r="GT2" i="1"/>
  <c r="GN2" i="1"/>
  <c r="GM2" i="1"/>
  <c r="DG2" i="1"/>
  <c r="CI2" i="1"/>
  <c r="CM2" i="1" s="1"/>
  <c r="AS2" i="1"/>
  <c r="Y2" i="1"/>
  <c r="U2" i="1"/>
  <c r="T2" i="1"/>
  <c r="S2" i="1"/>
  <c r="CJ31" i="1"/>
  <c r="GN27" i="1"/>
  <c r="U6" i="1"/>
  <c r="CJ32" i="1"/>
  <c r="GN15" i="1"/>
  <c r="CJ38" i="1"/>
  <c r="GN28" i="1"/>
  <c r="CR70" i="1"/>
  <c r="DG70" i="1" s="1"/>
  <c r="GZ27" i="1" l="1"/>
  <c r="GG27" i="1"/>
  <c r="HE27" i="1" s="1"/>
  <c r="GZ25" i="1"/>
  <c r="GG25" i="1"/>
  <c r="GZ24" i="1"/>
  <c r="GG24" i="1"/>
  <c r="HE24" i="1" s="1"/>
  <c r="GZ22" i="1"/>
  <c r="GG22" i="1"/>
  <c r="GZ23" i="1"/>
  <c r="GG23" i="1"/>
  <c r="HE23" i="1" s="1"/>
  <c r="GZ26" i="1"/>
  <c r="GG26" i="1"/>
  <c r="GZ34" i="1"/>
  <c r="GG34" i="1"/>
  <c r="HE34" i="1" s="1"/>
  <c r="GZ28" i="1"/>
  <c r="GG28" i="1"/>
  <c r="HE28" i="1" s="1"/>
  <c r="GZ35" i="1"/>
  <c r="GG35" i="1"/>
  <c r="HE35" i="1" s="1"/>
  <c r="GZ33" i="1"/>
  <c r="GG33" i="1"/>
  <c r="HE33" i="1" s="1"/>
  <c r="GZ36" i="1"/>
  <c r="GG36" i="1"/>
  <c r="HS36" i="1" s="1"/>
  <c r="GZ32" i="1"/>
  <c r="GG32" i="1"/>
  <c r="HE32" i="1" s="1"/>
  <c r="GZ31" i="1"/>
  <c r="GG31" i="1"/>
  <c r="HE31" i="1" s="1"/>
  <c r="HH62" i="1"/>
  <c r="HJ62" i="1"/>
  <c r="HI62" i="1"/>
  <c r="GG67" i="1"/>
  <c r="HE67" i="1" s="1"/>
  <c r="HJ67" i="1"/>
  <c r="HI67" i="1"/>
  <c r="GG63" i="1"/>
  <c r="HE63" i="1" s="1"/>
  <c r="GZ63" i="1"/>
  <c r="HE41" i="1"/>
  <c r="GZ41" i="1"/>
  <c r="GG81" i="1"/>
  <c r="HE81" i="1" s="1"/>
  <c r="GZ81" i="1"/>
  <c r="HI37" i="1"/>
  <c r="HJ37" i="1"/>
  <c r="GY20" i="1"/>
  <c r="GZ20" i="1"/>
  <c r="GG15" i="1"/>
  <c r="HE15" i="1" s="1"/>
  <c r="GZ15" i="1"/>
  <c r="HE29" i="1"/>
  <c r="GZ29" i="1"/>
  <c r="HE30" i="1"/>
  <c r="GZ30" i="1"/>
  <c r="GG42" i="1"/>
  <c r="HE42" i="1" s="1"/>
  <c r="GZ42" i="1"/>
  <c r="GG43" i="1"/>
  <c r="HE43" i="1" s="1"/>
  <c r="GZ43" i="1"/>
  <c r="GS41" i="1"/>
  <c r="HJ41" i="1"/>
  <c r="HI41" i="1"/>
  <c r="HI24" i="1"/>
  <c r="GG46" i="1"/>
  <c r="HE46" i="1" s="1"/>
  <c r="GZ46" i="1"/>
  <c r="GZ47" i="1"/>
  <c r="GG59" i="1"/>
  <c r="HE59" i="1" s="1"/>
  <c r="GZ59" i="1"/>
  <c r="GG70" i="1"/>
  <c r="HE70" i="1" s="1"/>
  <c r="GZ70" i="1"/>
  <c r="GG66" i="1"/>
  <c r="HE66" i="1" s="1"/>
  <c r="GZ66" i="1"/>
  <c r="GG75" i="1"/>
  <c r="GN75" i="1" s="1"/>
  <c r="HJ75" i="1"/>
  <c r="HI75" i="1"/>
  <c r="GS47" i="1"/>
  <c r="HI47" i="1"/>
  <c r="HJ47" i="1"/>
  <c r="GY2" i="1"/>
  <c r="GZ2" i="1"/>
  <c r="GG6" i="1"/>
  <c r="HE6" i="1" s="1"/>
  <c r="GZ6" i="1"/>
  <c r="GG11" i="1"/>
  <c r="HE11" i="1" s="1"/>
  <c r="GZ11" i="1"/>
  <c r="GG45" i="1"/>
  <c r="HE45" i="1" s="1"/>
  <c r="GZ45" i="1"/>
  <c r="HI56" i="1"/>
  <c r="HJ56" i="1"/>
  <c r="GG10" i="1"/>
  <c r="HE10" i="1" s="1"/>
  <c r="GZ10" i="1"/>
  <c r="GY14" i="1"/>
  <c r="GZ14" i="1"/>
  <c r="HE21" i="1"/>
  <c r="GZ21" i="1"/>
  <c r="GY13" i="1"/>
  <c r="GZ13" i="1"/>
  <c r="GG44" i="1"/>
  <c r="HE44" i="1" s="1"/>
  <c r="GZ44" i="1"/>
  <c r="HJ58" i="1"/>
  <c r="HI58" i="1"/>
  <c r="GG68" i="1"/>
  <c r="HE68" i="1" s="1"/>
  <c r="GZ68" i="1"/>
  <c r="CL42" i="1"/>
  <c r="DG42" i="1"/>
  <c r="CL72" i="1"/>
  <c r="DG72" i="1"/>
  <c r="CL101" i="1"/>
  <c r="DG101" i="1"/>
  <c r="CL89" i="1"/>
  <c r="DG89" i="1"/>
  <c r="CL50" i="1"/>
  <c r="DG50" i="1"/>
  <c r="CL53" i="1"/>
  <c r="DG53" i="1"/>
  <c r="CL73" i="1"/>
  <c r="DG73" i="1"/>
  <c r="CL86" i="1"/>
  <c r="DG86" i="1"/>
  <c r="CL90" i="1"/>
  <c r="DG90" i="1"/>
  <c r="CL59" i="1"/>
  <c r="DG59" i="1"/>
  <c r="CL74" i="1"/>
  <c r="DG74" i="1"/>
  <c r="CL87" i="1"/>
  <c r="DG87" i="1"/>
  <c r="CL91" i="1"/>
  <c r="DG91" i="1"/>
  <c r="CL99" i="1"/>
  <c r="DG99" i="1"/>
  <c r="CL51" i="1"/>
  <c r="DG51" i="1"/>
  <c r="CL52" i="1"/>
  <c r="DG52" i="1"/>
  <c r="CL55" i="1"/>
  <c r="DG55" i="1"/>
  <c r="CL71" i="1"/>
  <c r="DG71" i="1"/>
  <c r="CL85" i="1"/>
  <c r="DG85" i="1"/>
  <c r="CL88" i="1"/>
  <c r="DG88" i="1"/>
  <c r="CL70" i="1"/>
  <c r="CW70" i="1"/>
  <c r="CL69" i="1"/>
  <c r="CW69" i="1"/>
  <c r="CL57" i="1"/>
  <c r="CW57" i="1"/>
  <c r="CX57" i="1" s="1"/>
  <c r="HE36" i="1"/>
  <c r="GG62" i="1"/>
  <c r="HE62" i="1" s="1"/>
  <c r="GY31" i="1"/>
  <c r="GY17" i="1"/>
  <c r="GG17" i="1"/>
  <c r="HE17" i="1" s="1"/>
  <c r="GG37" i="1"/>
  <c r="HE37" i="1" s="1"/>
  <c r="GY8" i="1"/>
  <c r="GG8" i="1"/>
  <c r="HE8" i="1" s="1"/>
  <c r="GG65" i="1"/>
  <c r="GY35" i="1"/>
  <c r="GY40" i="1"/>
  <c r="GG40" i="1"/>
  <c r="HE40" i="1" s="1"/>
  <c r="GY26" i="1"/>
  <c r="HE26" i="1"/>
  <c r="GY34" i="1"/>
  <c r="GY33" i="1"/>
  <c r="GY25" i="1"/>
  <c r="HE25" i="1"/>
  <c r="GY24" i="1"/>
  <c r="GY47" i="1"/>
  <c r="GG47" i="1"/>
  <c r="HE47" i="1" s="1"/>
  <c r="GG49" i="1"/>
  <c r="HE49" i="1" s="1"/>
  <c r="GY7" i="1"/>
  <c r="GG7" i="1"/>
  <c r="HE7" i="1" s="1"/>
  <c r="GY56" i="1"/>
  <c r="GG56" i="1"/>
  <c r="HE56" i="1" s="1"/>
  <c r="HH58" i="1"/>
  <c r="HK58" i="1" s="1"/>
  <c r="GY16" i="1"/>
  <c r="GG16" i="1"/>
  <c r="HE16" i="1" s="1"/>
  <c r="GG38" i="1"/>
  <c r="GH38" i="1" s="1"/>
  <c r="GY48" i="1"/>
  <c r="GG48" i="1"/>
  <c r="HE48" i="1" s="1"/>
  <c r="GG69" i="1"/>
  <c r="HE69" i="1" s="1"/>
  <c r="GY64" i="1"/>
  <c r="GG64" i="1"/>
  <c r="HE64" i="1" s="1"/>
  <c r="C109" i="26"/>
  <c r="C105" i="26"/>
  <c r="C102" i="26"/>
  <c r="C108" i="26"/>
  <c r="C104" i="26"/>
  <c r="C100" i="26"/>
  <c r="C107" i="26"/>
  <c r="C103" i="26"/>
  <c r="C106" i="26"/>
  <c r="C101" i="26"/>
  <c r="FP41" i="1"/>
  <c r="CL41" i="1"/>
  <c r="CJ24" i="1"/>
  <c r="CL24" i="1"/>
  <c r="FP103" i="1"/>
  <c r="CL103" i="1"/>
  <c r="FP54" i="1"/>
  <c r="CL54" i="1"/>
  <c r="CW42" i="1"/>
  <c r="FP42" i="1"/>
  <c r="FP70" i="1"/>
  <c r="CJ72" i="1"/>
  <c r="CO72" i="1" s="1"/>
  <c r="FP72" i="1"/>
  <c r="CW101" i="1"/>
  <c r="CX101" i="1" s="1"/>
  <c r="FP101" i="1"/>
  <c r="CW89" i="1"/>
  <c r="CX89" i="1" s="1"/>
  <c r="FP89" i="1"/>
  <c r="CW59" i="1"/>
  <c r="CX59" i="1" s="1"/>
  <c r="FP59" i="1"/>
  <c r="CW51" i="1"/>
  <c r="CX51" i="1" s="1"/>
  <c r="FP51" i="1"/>
  <c r="CW52" i="1"/>
  <c r="CX52" i="1" s="1"/>
  <c r="FP52" i="1"/>
  <c r="CW55" i="1"/>
  <c r="CX55" i="1" s="1"/>
  <c r="FP55" i="1"/>
  <c r="CW73" i="1"/>
  <c r="CX73" i="1" s="1"/>
  <c r="FP73" i="1"/>
  <c r="CJ86" i="1"/>
  <c r="CO86" i="1" s="1"/>
  <c r="FP86" i="1"/>
  <c r="CJ90" i="1"/>
  <c r="CO90" i="1" s="1"/>
  <c r="FP90" i="1"/>
  <c r="FP69" i="1"/>
  <c r="FP57" i="1"/>
  <c r="CJ99" i="1"/>
  <c r="CO99" i="1" s="1"/>
  <c r="FP99" i="1"/>
  <c r="CW74" i="1"/>
  <c r="CX74" i="1" s="1"/>
  <c r="FP74" i="1"/>
  <c r="CW87" i="1"/>
  <c r="CX87" i="1" s="1"/>
  <c r="FP87" i="1"/>
  <c r="CJ91" i="1"/>
  <c r="FP91" i="1"/>
  <c r="CW50" i="1"/>
  <c r="CX50" i="1" s="1"/>
  <c r="FP50" i="1"/>
  <c r="CW53" i="1"/>
  <c r="CX53" i="1" s="1"/>
  <c r="FP53" i="1"/>
  <c r="CW71" i="1"/>
  <c r="CX71" i="1" s="1"/>
  <c r="FP71" i="1"/>
  <c r="CW85" i="1"/>
  <c r="CX85" i="1" s="1"/>
  <c r="FP85" i="1"/>
  <c r="CW88" i="1"/>
  <c r="CX88" i="1" s="1"/>
  <c r="FP88" i="1"/>
  <c r="I25" i="26"/>
  <c r="AF109" i="1"/>
  <c r="AF105" i="1"/>
  <c r="HR102" i="1"/>
  <c r="HP102" i="1"/>
  <c r="HK102" i="1"/>
  <c r="GJ102" i="1"/>
  <c r="HP82" i="1"/>
  <c r="HR82" i="1"/>
  <c r="HK82" i="1"/>
  <c r="HR61" i="1"/>
  <c r="HP61" i="1"/>
  <c r="HK61" i="1"/>
  <c r="HP77" i="1"/>
  <c r="HR77" i="1"/>
  <c r="HK77" i="1"/>
  <c r="HR99" i="1"/>
  <c r="HP99" i="1"/>
  <c r="HK99" i="1"/>
  <c r="GJ99" i="1"/>
  <c r="HR101" i="1"/>
  <c r="HP101" i="1"/>
  <c r="GJ101" i="1"/>
  <c r="HK101" i="1"/>
  <c r="HR103" i="1"/>
  <c r="HP103" i="1"/>
  <c r="HK103" i="1"/>
  <c r="GJ103" i="1"/>
  <c r="HP76" i="1"/>
  <c r="HR76" i="1"/>
  <c r="HK76" i="1"/>
  <c r="HR97" i="1"/>
  <c r="HP97" i="1"/>
  <c r="GJ97" i="1"/>
  <c r="HK97" i="1"/>
  <c r="B10" i="26"/>
  <c r="AN67" i="1"/>
  <c r="V67" i="1"/>
  <c r="Y26" i="1"/>
  <c r="U26" i="1"/>
  <c r="B51" i="26"/>
  <c r="B52" i="26"/>
  <c r="B50" i="26"/>
  <c r="HH75" i="1"/>
  <c r="HK75" i="1" s="1"/>
  <c r="CO31" i="1"/>
  <c r="Y6" i="1"/>
  <c r="HW53" i="1"/>
  <c r="GY49" i="1"/>
  <c r="BN47" i="1"/>
  <c r="D116" i="26"/>
  <c r="K114" i="26"/>
  <c r="E114" i="26"/>
  <c r="D115" i="26"/>
  <c r="B114" i="26"/>
  <c r="K115" i="26"/>
  <c r="J116" i="26"/>
  <c r="E115" i="26"/>
  <c r="G114" i="26"/>
  <c r="C116" i="26"/>
  <c r="K116" i="26"/>
  <c r="B116" i="26"/>
  <c r="H114" i="26"/>
  <c r="H115" i="26"/>
  <c r="G115" i="26"/>
  <c r="C114" i="26"/>
  <c r="D114" i="26"/>
  <c r="J115" i="26"/>
  <c r="J114" i="26"/>
  <c r="I116" i="26"/>
  <c r="G116" i="26"/>
  <c r="F116" i="26"/>
  <c r="F115" i="26"/>
  <c r="B115" i="26"/>
  <c r="H116" i="26"/>
  <c r="I114" i="26"/>
  <c r="F114" i="26"/>
  <c r="I115" i="26"/>
  <c r="C115" i="26"/>
  <c r="E116" i="26"/>
  <c r="D136" i="1"/>
  <c r="P154" i="1" s="1"/>
  <c r="BN40" i="1"/>
  <c r="CO48" i="1"/>
  <c r="HW52" i="1"/>
  <c r="CM37" i="1"/>
  <c r="BN37" i="1"/>
  <c r="BN45" i="1"/>
  <c r="CK42" i="1"/>
  <c r="CM42" i="1" s="1"/>
  <c r="CJ42" i="1"/>
  <c r="CJ69" i="1"/>
  <c r="CO69" i="1" s="1"/>
  <c r="GY68" i="1"/>
  <c r="CW86" i="1"/>
  <c r="CX86" i="1" s="1"/>
  <c r="AS24" i="1"/>
  <c r="HI115" i="1"/>
  <c r="BN20" i="1"/>
  <c r="R42" i="1"/>
  <c r="HR38" i="1"/>
  <c r="BN11" i="1"/>
  <c r="V102" i="1"/>
  <c r="AK102" i="1"/>
  <c r="W102" i="1"/>
  <c r="R102" i="1"/>
  <c r="AK82" i="1"/>
  <c r="HR16" i="1"/>
  <c r="AK16" i="1"/>
  <c r="AK25" i="1"/>
  <c r="AK81" i="1"/>
  <c r="R81" i="1"/>
  <c r="W81" i="1"/>
  <c r="AK61" i="1"/>
  <c r="R61" i="1"/>
  <c r="W61" i="1"/>
  <c r="V61" i="1"/>
  <c r="AK101" i="1"/>
  <c r="V65" i="1"/>
  <c r="AK65" i="1"/>
  <c r="R65" i="1"/>
  <c r="W65" i="1"/>
  <c r="HR68" i="1"/>
  <c r="V68" i="1"/>
  <c r="AK68" i="1"/>
  <c r="R68" i="1"/>
  <c r="W68" i="1"/>
  <c r="W97" i="1"/>
  <c r="AK97" i="1"/>
  <c r="W60" i="1"/>
  <c r="R60" i="1"/>
  <c r="V60" i="1"/>
  <c r="AK76" i="1"/>
  <c r="R76" i="1"/>
  <c r="R103" i="1"/>
  <c r="AK77" i="1"/>
  <c r="R77" i="1"/>
  <c r="HR63" i="1"/>
  <c r="V63" i="1"/>
  <c r="W63" i="1"/>
  <c r="AK64" i="1"/>
  <c r="R64" i="1"/>
  <c r="V64" i="1"/>
  <c r="W64" i="1"/>
  <c r="HW63" i="1"/>
  <c r="CJ55" i="1"/>
  <c r="HW50" i="1"/>
  <c r="T21" i="1"/>
  <c r="S21" i="1"/>
  <c r="AS21" i="1"/>
  <c r="GY36" i="1"/>
  <c r="CO38" i="1"/>
  <c r="S41" i="1"/>
  <c r="CW91" i="1"/>
  <c r="CX91" i="1" s="1"/>
  <c r="Y24" i="1"/>
  <c r="CJ71" i="1"/>
  <c r="HS50" i="1"/>
  <c r="HG109" i="1"/>
  <c r="S30" i="1"/>
  <c r="HS63" i="1"/>
  <c r="HI118" i="1"/>
  <c r="T30" i="1"/>
  <c r="T41" i="1"/>
  <c r="GZ53" i="1"/>
  <c r="S10" i="1"/>
  <c r="AS30" i="1"/>
  <c r="HI112" i="1"/>
  <c r="GY62" i="1"/>
  <c r="CO36" i="1"/>
  <c r="T10" i="1"/>
  <c r="AS10" i="1"/>
  <c r="CO20" i="1"/>
  <c r="CO21" i="1"/>
  <c r="CO30" i="1"/>
  <c r="S24" i="1"/>
  <c r="GF47" i="1"/>
  <c r="CO25" i="1"/>
  <c r="CJ50" i="1"/>
  <c r="HW60" i="1"/>
  <c r="HS52" i="1"/>
  <c r="BN34" i="1"/>
  <c r="CJ41" i="1"/>
  <c r="CO41" i="1" s="1"/>
  <c r="HS53" i="1"/>
  <c r="CJ101" i="1"/>
  <c r="BN36" i="1"/>
  <c r="R33" i="1"/>
  <c r="BN48" i="1"/>
  <c r="GH60" i="1"/>
  <c r="CJ51" i="1"/>
  <c r="GH63" i="1"/>
  <c r="GY65" i="1"/>
  <c r="HW54" i="1"/>
  <c r="W44" i="1"/>
  <c r="AO67" i="1"/>
  <c r="AN57" i="1"/>
  <c r="V46" i="1"/>
  <c r="R56" i="1"/>
  <c r="CJ53" i="1"/>
  <c r="GN63" i="1"/>
  <c r="GL109" i="1"/>
  <c r="CW99" i="1"/>
  <c r="AO58" i="1"/>
  <c r="V21" i="1"/>
  <c r="BN12" i="1"/>
  <c r="AK99" i="1"/>
  <c r="HW49" i="1"/>
  <c r="BN35" i="1"/>
  <c r="GK105" i="1"/>
  <c r="R3" i="1"/>
  <c r="GQ109" i="1"/>
  <c r="GT109" i="1" s="1"/>
  <c r="R19" i="1"/>
  <c r="HP67" i="1"/>
  <c r="CO34" i="1"/>
  <c r="HK57" i="1"/>
  <c r="AL56" i="1"/>
  <c r="AN19" i="1"/>
  <c r="CJ59" i="1"/>
  <c r="CO59" i="1" s="1"/>
  <c r="GY38" i="1"/>
  <c r="R57" i="1"/>
  <c r="HP56" i="1"/>
  <c r="HS55" i="1"/>
  <c r="AN56" i="1"/>
  <c r="HP57" i="1"/>
  <c r="HR46" i="1"/>
  <c r="HP20" i="1"/>
  <c r="CO33" i="1"/>
  <c r="AO46" i="1"/>
  <c r="W46" i="1"/>
  <c r="HP48" i="1"/>
  <c r="AO56" i="1"/>
  <c r="V19" i="1"/>
  <c r="GK109" i="1"/>
  <c r="HP38" i="1"/>
  <c r="V33" i="1"/>
  <c r="W21" i="1"/>
  <c r="CO37" i="1"/>
  <c r="R29" i="1"/>
  <c r="HK26" i="1"/>
  <c r="HK48" i="1"/>
  <c r="HR56" i="1"/>
  <c r="HP60" i="1"/>
  <c r="R46" i="1"/>
  <c r="GP105" i="1"/>
  <c r="AK26" i="1"/>
  <c r="HP22" i="1"/>
  <c r="V22" i="1"/>
  <c r="AN20" i="1"/>
  <c r="AK24" i="1"/>
  <c r="AM67" i="1"/>
  <c r="AK48" i="1"/>
  <c r="HK22" i="1"/>
  <c r="CJ88" i="1"/>
  <c r="HR60" i="1"/>
  <c r="HH56" i="1"/>
  <c r="HK56" i="1" s="1"/>
  <c r="V57" i="1"/>
  <c r="HP46" i="1"/>
  <c r="W57" i="1"/>
  <c r="HR48" i="1"/>
  <c r="W24" i="1"/>
  <c r="R48" i="1"/>
  <c r="GY63" i="1"/>
  <c r="HR57" i="1"/>
  <c r="AK56" i="1"/>
  <c r="CK31" i="1"/>
  <c r="CM31" i="1" s="1"/>
  <c r="HS81" i="1"/>
  <c r="HK38" i="1"/>
  <c r="HS51" i="1"/>
  <c r="HP19" i="1"/>
  <c r="S33" i="1"/>
  <c r="W37" i="1"/>
  <c r="AK37" i="1"/>
  <c r="W29" i="1"/>
  <c r="AK19" i="1"/>
  <c r="BN31" i="1"/>
  <c r="GG20" i="1"/>
  <c r="HE20" i="1" s="1"/>
  <c r="W22" i="1"/>
  <c r="HP33" i="1"/>
  <c r="AK21" i="1"/>
  <c r="W35" i="1"/>
  <c r="AP19" i="1"/>
  <c r="W14" i="1"/>
  <c r="R38" i="1"/>
  <c r="HP21" i="1"/>
  <c r="AM46" i="1"/>
  <c r="AK57" i="1"/>
  <c r="AK46" i="1"/>
  <c r="AO57" i="1"/>
  <c r="V37" i="1"/>
  <c r="HW59" i="1"/>
  <c r="W56" i="1"/>
  <c r="AM57" i="1"/>
  <c r="R26" i="1"/>
  <c r="AL14" i="1"/>
  <c r="AK20" i="1"/>
  <c r="HR22" i="1"/>
  <c r="W33" i="1"/>
  <c r="AL19" i="1"/>
  <c r="AM48" i="1"/>
  <c r="HP29" i="1"/>
  <c r="GY6" i="1"/>
  <c r="V56" i="1"/>
  <c r="AK38" i="1"/>
  <c r="GG2" i="1"/>
  <c r="R37" i="1"/>
  <c r="HR33" i="1"/>
  <c r="AO21" i="1"/>
  <c r="CO19" i="1"/>
  <c r="HR9" i="1"/>
  <c r="GY30" i="1"/>
  <c r="HK9" i="1"/>
  <c r="V20" i="1"/>
  <c r="AM20" i="1"/>
  <c r="HK33" i="1"/>
  <c r="HF123" i="1"/>
  <c r="HJ123" i="1" s="1"/>
  <c r="HK47" i="1"/>
  <c r="HK64" i="1"/>
  <c r="HK44" i="1"/>
  <c r="V44" i="1"/>
  <c r="AP44" i="1"/>
  <c r="AO12" i="1"/>
  <c r="AO99" i="1"/>
  <c r="R44" i="1"/>
  <c r="V99" i="1"/>
  <c r="R36" i="1"/>
  <c r="AK17" i="1"/>
  <c r="HR44" i="1"/>
  <c r="V47" i="1"/>
  <c r="HP44" i="1"/>
  <c r="V42" i="1"/>
  <c r="AM99" i="1"/>
  <c r="R99" i="1"/>
  <c r="AN44" i="1"/>
  <c r="AK44" i="1"/>
  <c r="AN99" i="1"/>
  <c r="HR62" i="1"/>
  <c r="HK60" i="1"/>
  <c r="HK68" i="1"/>
  <c r="HW51" i="1"/>
  <c r="HW55" i="1"/>
  <c r="E10" i="26"/>
  <c r="HW81" i="1"/>
  <c r="GU70" i="1"/>
  <c r="GY70" i="1" s="1"/>
  <c r="HP40" i="1"/>
  <c r="S42" i="1"/>
  <c r="AP36" i="1"/>
  <c r="HP13" i="1"/>
  <c r="AO36" i="1"/>
  <c r="GY32" i="1"/>
  <c r="AK10" i="1"/>
  <c r="AJ109" i="1"/>
  <c r="CJ52" i="1"/>
  <c r="AN36" i="1"/>
  <c r="HR30" i="1"/>
  <c r="AL12" i="1"/>
  <c r="HR40" i="1"/>
  <c r="GY69" i="1"/>
  <c r="AP42" i="1"/>
  <c r="HR36" i="1"/>
  <c r="HS64" i="1"/>
  <c r="BN28" i="1"/>
  <c r="CO27" i="1"/>
  <c r="HK19" i="1"/>
  <c r="W40" i="1"/>
  <c r="HS49" i="1"/>
  <c r="HW64" i="1"/>
  <c r="HP17" i="1"/>
  <c r="HK16" i="1"/>
  <c r="HR18" i="1"/>
  <c r="C7" i="26"/>
  <c r="V41" i="1"/>
  <c r="AP66" i="1"/>
  <c r="AM66" i="1"/>
  <c r="AO66" i="1"/>
  <c r="HR66" i="1"/>
  <c r="V66" i="1"/>
  <c r="W66" i="1"/>
  <c r="AL66" i="1"/>
  <c r="HP81" i="1"/>
  <c r="AN66" i="1"/>
  <c r="AK66" i="1"/>
  <c r="HR70" i="1"/>
  <c r="GG19" i="1"/>
  <c r="HE19" i="1" s="1"/>
  <c r="GY19" i="1"/>
  <c r="S23" i="1"/>
  <c r="R23" i="1"/>
  <c r="HR43" i="1"/>
  <c r="AL43" i="1"/>
  <c r="AN43" i="1"/>
  <c r="HP37" i="1"/>
  <c r="AK31" i="1"/>
  <c r="V70" i="1"/>
  <c r="T70" i="1"/>
  <c r="S66" i="1"/>
  <c r="R66" i="1"/>
  <c r="GM75" i="1"/>
  <c r="GL105" i="1"/>
  <c r="E9" i="26"/>
  <c r="HP64" i="1"/>
  <c r="HR64" i="1"/>
  <c r="HP68" i="1"/>
  <c r="W6" i="1"/>
  <c r="HR28" i="1"/>
  <c r="AK28" i="1"/>
  <c r="CO35" i="1"/>
  <c r="HR23" i="1"/>
  <c r="GY59" i="1"/>
  <c r="U62" i="1"/>
  <c r="T62" i="1"/>
  <c r="HP70" i="1"/>
  <c r="W70" i="1"/>
  <c r="AL70" i="1"/>
  <c r="AN70" i="1"/>
  <c r="AN28" i="1"/>
  <c r="AM68" i="1"/>
  <c r="HH24" i="1"/>
  <c r="HK24" i="1" s="1"/>
  <c r="V18" i="1"/>
  <c r="HP66" i="1"/>
  <c r="V43" i="1"/>
  <c r="HR81" i="1"/>
  <c r="AM70" i="1"/>
  <c r="W20" i="1"/>
  <c r="R20" i="1"/>
  <c r="W19" i="1"/>
  <c r="P124" i="1"/>
  <c r="AK11" i="1"/>
  <c r="GY15" i="1"/>
  <c r="E217" i="1"/>
  <c r="R22" i="1"/>
  <c r="R24" i="1"/>
  <c r="HR67" i="1"/>
  <c r="HK66" i="1"/>
  <c r="HK81" i="1"/>
  <c r="HK63" i="1"/>
  <c r="HK65" i="1"/>
  <c r="E136" i="1"/>
  <c r="HF124" i="1"/>
  <c r="AK40" i="1"/>
  <c r="GU37" i="1"/>
  <c r="GF37" i="1" s="1"/>
  <c r="W30" i="1"/>
  <c r="HK40" i="1"/>
  <c r="Y41" i="1"/>
  <c r="HP42" i="1"/>
  <c r="AL36" i="1"/>
  <c r="CJ40" i="1"/>
  <c r="CO40" i="1" s="1"/>
  <c r="C6" i="26"/>
  <c r="AN21" i="1"/>
  <c r="V29" i="1"/>
  <c r="R40" i="1"/>
  <c r="AN42" i="1"/>
  <c r="W38" i="1"/>
  <c r="W36" i="1"/>
  <c r="AP12" i="1"/>
  <c r="AK34" i="1"/>
  <c r="R14" i="1"/>
  <c r="V12" i="1"/>
  <c r="HR35" i="1"/>
  <c r="AK33" i="1"/>
  <c r="AP21" i="1"/>
  <c r="AM12" i="1"/>
  <c r="HK42" i="1"/>
  <c r="GG13" i="1"/>
  <c r="HE13" i="1" s="1"/>
  <c r="HP10" i="1"/>
  <c r="CO26" i="1"/>
  <c r="R5" i="1"/>
  <c r="R59" i="1"/>
  <c r="AN59" i="1"/>
  <c r="AM62" i="1"/>
  <c r="AK75" i="1"/>
  <c r="R75" i="1"/>
  <c r="GQ105" i="1"/>
  <c r="W49" i="1"/>
  <c r="V49" i="1"/>
  <c r="C9" i="26"/>
  <c r="W62" i="1"/>
  <c r="V62" i="1"/>
  <c r="HP5" i="1"/>
  <c r="HK49" i="1"/>
  <c r="HP6" i="1"/>
  <c r="AK6" i="1"/>
  <c r="V3" i="1"/>
  <c r="GY12" i="1"/>
  <c r="GY11" i="1"/>
  <c r="GY22" i="1"/>
  <c r="HE22" i="1"/>
  <c r="AK27" i="1"/>
  <c r="R27" i="1"/>
  <c r="AL28" i="1"/>
  <c r="W28" i="1"/>
  <c r="V28" i="1"/>
  <c r="HP28" i="1"/>
  <c r="AO28" i="1"/>
  <c r="GY28" i="1"/>
  <c r="AK23" i="1"/>
  <c r="GY23" i="1"/>
  <c r="AK18" i="1"/>
  <c r="W18" i="1"/>
  <c r="R18" i="1"/>
  <c r="GG18" i="1"/>
  <c r="HE18" i="1" s="1"/>
  <c r="GY18" i="1"/>
  <c r="HW42" i="1"/>
  <c r="GU42" i="1"/>
  <c r="GF42" i="1" s="1"/>
  <c r="AO43" i="1"/>
  <c r="AM43" i="1"/>
  <c r="AP43" i="1"/>
  <c r="W43" i="1"/>
  <c r="R43" i="1"/>
  <c r="HO41" i="1"/>
  <c r="HO105" i="1" s="1"/>
  <c r="W41" i="1"/>
  <c r="AK41" i="1"/>
  <c r="HP24" i="1"/>
  <c r="HJ24" i="1"/>
  <c r="HP32" i="1"/>
  <c r="HR32" i="1"/>
  <c r="HK32" i="1"/>
  <c r="HP31" i="1"/>
  <c r="HK31" i="1"/>
  <c r="HR31" i="1"/>
  <c r="V69" i="1"/>
  <c r="U69" i="1"/>
  <c r="AK69" i="1"/>
  <c r="U40" i="1"/>
  <c r="V40" i="1"/>
  <c r="HS67" i="1"/>
  <c r="HW67" i="1"/>
  <c r="HP63" i="1"/>
  <c r="HP65" i="1"/>
  <c r="HR65" i="1"/>
  <c r="R97" i="1"/>
  <c r="GV105" i="1"/>
  <c r="HP49" i="1"/>
  <c r="W59" i="1"/>
  <c r="W75" i="1"/>
  <c r="GH11" i="1"/>
  <c r="HP27" i="1"/>
  <c r="AM28" i="1"/>
  <c r="V5" i="1"/>
  <c r="HR49" i="1"/>
  <c r="CO17" i="1"/>
  <c r="HH5" i="1"/>
  <c r="HK5" i="1" s="1"/>
  <c r="P122" i="1"/>
  <c r="W9" i="1"/>
  <c r="R9" i="1"/>
  <c r="HR75" i="1"/>
  <c r="AK63" i="1"/>
  <c r="R28" i="1"/>
  <c r="AK62" i="1"/>
  <c r="HK18" i="1"/>
  <c r="AK4" i="1"/>
  <c r="W12" i="1"/>
  <c r="HK21" i="1"/>
  <c r="AO14" i="1"/>
  <c r="AN12" i="1"/>
  <c r="AK29" i="1"/>
  <c r="HK43" i="1"/>
  <c r="HK41" i="1"/>
  <c r="V2" i="1"/>
  <c r="W2" i="1"/>
  <c r="HI2" i="1"/>
  <c r="R2" i="1"/>
  <c r="HR2" i="1"/>
  <c r="GY81" i="1"/>
  <c r="V97" i="1"/>
  <c r="GN57" i="1"/>
  <c r="HS65" i="1"/>
  <c r="GY29" i="1"/>
  <c r="HK35" i="1"/>
  <c r="CO10" i="1"/>
  <c r="HW65" i="1"/>
  <c r="HW56" i="1"/>
  <c r="HS57" i="1"/>
  <c r="GH57" i="1"/>
  <c r="GS2" i="1"/>
  <c r="CJ57" i="1"/>
  <c r="HS75" i="1"/>
  <c r="AO20" i="1"/>
  <c r="AP20" i="1"/>
  <c r="R11" i="1"/>
  <c r="V11" i="1"/>
  <c r="HP11" i="1"/>
  <c r="HR11" i="1"/>
  <c r="HK11" i="1"/>
  <c r="AO19" i="1"/>
  <c r="HR19" i="1"/>
  <c r="HP30" i="1"/>
  <c r="HP36" i="1"/>
  <c r="AM36" i="1"/>
  <c r="HK36" i="1"/>
  <c r="CW54" i="1"/>
  <c r="CX54" i="1" s="1"/>
  <c r="CJ54" i="1"/>
  <c r="CJ103" i="1"/>
  <c r="CW103" i="1"/>
  <c r="CX103" i="1" s="1"/>
  <c r="CW72" i="1"/>
  <c r="CX72" i="1" s="1"/>
  <c r="BM43" i="1"/>
  <c r="HH10" i="1"/>
  <c r="HK10" i="1" s="1"/>
  <c r="HB109" i="1"/>
  <c r="P126" i="1"/>
  <c r="CO7" i="1"/>
  <c r="HP12" i="1"/>
  <c r="HR12" i="1"/>
  <c r="R12" i="1"/>
  <c r="HK12" i="1"/>
  <c r="CK32" i="1"/>
  <c r="CM32" i="1" s="1"/>
  <c r="HH67" i="1"/>
  <c r="HK67" i="1" s="1"/>
  <c r="HC109" i="1"/>
  <c r="HS66" i="1"/>
  <c r="HW66" i="1"/>
  <c r="HP75" i="1"/>
  <c r="C136" i="1"/>
  <c r="W48" i="1"/>
  <c r="CJ73" i="1"/>
  <c r="GY5" i="1"/>
  <c r="CO6" i="1"/>
  <c r="AP14" i="1"/>
  <c r="AM14" i="1"/>
  <c r="AN14" i="1"/>
  <c r="V14" i="1"/>
  <c r="HP14" i="1"/>
  <c r="HR14" i="1"/>
  <c r="AK14" i="1"/>
  <c r="R21" i="1"/>
  <c r="HR21" i="1"/>
  <c r="GY21" i="1"/>
  <c r="CO22" i="1"/>
  <c r="GY27" i="1"/>
  <c r="HR17" i="1"/>
  <c r="W17" i="1"/>
  <c r="V17" i="1"/>
  <c r="AN17" i="1"/>
  <c r="HP16" i="1"/>
  <c r="AK13" i="1"/>
  <c r="W13" i="1"/>
  <c r="V13" i="1"/>
  <c r="V34" i="1"/>
  <c r="HP34" i="1"/>
  <c r="R34" i="1"/>
  <c r="AK30" i="1"/>
  <c r="V30" i="1"/>
  <c r="AO17" i="1"/>
  <c r="CO32" i="1"/>
  <c r="HK30" i="1"/>
  <c r="AK42" i="1"/>
  <c r="AK9" i="1"/>
  <c r="V35" i="1"/>
  <c r="P123" i="1"/>
  <c r="S47" i="1"/>
  <c r="CO14" i="1"/>
  <c r="AP38" i="1"/>
  <c r="W42" i="1"/>
  <c r="HP26" i="1"/>
  <c r="AO38" i="1"/>
  <c r="V9" i="1"/>
  <c r="AK35" i="1"/>
  <c r="P125" i="1"/>
  <c r="P128" i="1"/>
  <c r="HP43" i="1"/>
  <c r="AO42" i="1"/>
  <c r="W99" i="1"/>
  <c r="GG12" i="1"/>
  <c r="HE12" i="1" s="1"/>
  <c r="V38" i="1"/>
  <c r="CO28" i="1"/>
  <c r="HK14" i="1"/>
  <c r="HK28" i="1"/>
  <c r="CJ74" i="1"/>
  <c r="B106" i="26"/>
  <c r="HK3" i="1"/>
  <c r="HK29" i="1"/>
  <c r="HK46" i="1"/>
  <c r="GG5" i="1"/>
  <c r="HE5" i="1" s="1"/>
  <c r="BY109" i="1"/>
  <c r="CO2" i="1"/>
  <c r="HP8" i="1"/>
  <c r="CJ70" i="1"/>
  <c r="V6" i="1"/>
  <c r="HK6" i="1"/>
  <c r="GY44" i="1"/>
  <c r="AK3" i="1"/>
  <c r="W3" i="1"/>
  <c r="HR3" i="1"/>
  <c r="AK8" i="1"/>
  <c r="HR58" i="1"/>
  <c r="HR5" i="1"/>
  <c r="AK5" i="1"/>
  <c r="W5" i="1"/>
  <c r="W67" i="1"/>
  <c r="AP67" i="1"/>
  <c r="R67" i="1"/>
  <c r="GY67" i="1"/>
  <c r="GY66" i="1"/>
  <c r="P119" i="1"/>
  <c r="P116" i="1"/>
  <c r="P129" i="1" s="1"/>
  <c r="P117" i="1"/>
  <c r="HB105" i="1"/>
  <c r="P118" i="1"/>
  <c r="S3" i="1"/>
  <c r="HK7" i="1"/>
  <c r="E7" i="26"/>
  <c r="HR6" i="1"/>
  <c r="HR8" i="1"/>
  <c r="HR7" i="1"/>
  <c r="HP7" i="1"/>
  <c r="HK23" i="1"/>
  <c r="W23" i="1"/>
  <c r="V23" i="1"/>
  <c r="HP23" i="1"/>
  <c r="CO18" i="1"/>
  <c r="HR59" i="1"/>
  <c r="HP59" i="1"/>
  <c r="AO59" i="1"/>
  <c r="AK59" i="1"/>
  <c r="HK59" i="1"/>
  <c r="AL59" i="1"/>
  <c r="V59" i="1"/>
  <c r="AM59" i="1"/>
  <c r="R62" i="1"/>
  <c r="AO62" i="1"/>
  <c r="AN62" i="1"/>
  <c r="HP62" i="1"/>
  <c r="GY3" i="1"/>
  <c r="GG3" i="1"/>
  <c r="HE3" i="1" s="1"/>
  <c r="CJ43" i="1"/>
  <c r="CW43" i="1"/>
  <c r="GY46" i="1"/>
  <c r="AN75" i="1"/>
  <c r="GG14" i="1"/>
  <c r="HE14" i="1" s="1"/>
  <c r="CO11" i="1"/>
  <c r="C10" i="26"/>
  <c r="AK2" i="1"/>
  <c r="V36" i="1"/>
  <c r="T69" i="1"/>
  <c r="HH37" i="1"/>
  <c r="HK37" i="1" s="1"/>
  <c r="HR37" i="1"/>
  <c r="R6" i="1"/>
  <c r="R35" i="1"/>
  <c r="HK62" i="1"/>
  <c r="AK103" i="1"/>
  <c r="V26" i="1"/>
  <c r="W26" i="1"/>
  <c r="B13" i="26"/>
  <c r="HB126" i="1"/>
  <c r="B94" i="26"/>
  <c r="B93" i="26"/>
  <c r="S13" i="1"/>
  <c r="R13" i="1"/>
  <c r="CO13" i="1"/>
  <c r="GY43" i="1"/>
  <c r="GF41" i="1"/>
  <c r="GY41" i="1"/>
  <c r="AP69" i="1"/>
  <c r="AO69" i="1"/>
  <c r="HP69" i="1"/>
  <c r="HR69" i="1"/>
  <c r="HK69" i="1"/>
  <c r="AL58" i="1"/>
  <c r="R58" i="1"/>
  <c r="AM58" i="1"/>
  <c r="AN58" i="1"/>
  <c r="V58" i="1"/>
  <c r="HP58" i="1"/>
  <c r="W58" i="1"/>
  <c r="AK58" i="1"/>
  <c r="AC141" i="1"/>
  <c r="D217" i="1"/>
  <c r="B12" i="26"/>
  <c r="B8" i="26"/>
  <c r="HB124" i="1"/>
  <c r="HB123" i="1"/>
  <c r="B102" i="26"/>
  <c r="GG9" i="1"/>
  <c r="HE9" i="1" s="1"/>
  <c r="GY9" i="1"/>
  <c r="GV109" i="1"/>
  <c r="S4" i="1"/>
  <c r="B107" i="26"/>
  <c r="R4" i="1"/>
  <c r="HP4" i="1"/>
  <c r="AO4" i="1"/>
  <c r="HR4" i="1"/>
  <c r="B95" i="26"/>
  <c r="B14" i="26"/>
  <c r="C203" i="1"/>
  <c r="C205" i="1"/>
  <c r="C199" i="1"/>
  <c r="B7" i="26"/>
  <c r="W4" i="1"/>
  <c r="C4" i="26"/>
  <c r="C198" i="1"/>
  <c r="C204" i="1"/>
  <c r="C201" i="1"/>
  <c r="E6" i="26"/>
  <c r="B11" i="26"/>
  <c r="V4" i="1"/>
  <c r="AN4" i="1"/>
  <c r="C207" i="1"/>
  <c r="C200" i="1"/>
  <c r="B5" i="26"/>
  <c r="S15" i="1"/>
  <c r="HP15" i="1"/>
  <c r="HK15" i="1"/>
  <c r="HR15" i="1"/>
  <c r="E8" i="26"/>
  <c r="AK15" i="1"/>
  <c r="CO15" i="1"/>
  <c r="CK38" i="1"/>
  <c r="CM38" i="1" s="1"/>
  <c r="BN38" i="1"/>
  <c r="CO29" i="1"/>
  <c r="GN33" i="1"/>
  <c r="B100" i="26"/>
  <c r="B103" i="26"/>
  <c r="B92" i="26"/>
  <c r="B4" i="26"/>
  <c r="B109" i="26"/>
  <c r="B105" i="26"/>
  <c r="C206" i="1"/>
  <c r="HS10" i="1"/>
  <c r="CO8" i="1"/>
  <c r="HK2" i="1"/>
  <c r="HP2" i="1"/>
  <c r="CO12" i="1"/>
  <c r="HK8" i="1"/>
  <c r="AP28" i="1"/>
  <c r="HK34" i="1"/>
  <c r="W34" i="1"/>
  <c r="HR34" i="1"/>
  <c r="AK36" i="1"/>
  <c r="V48" i="1"/>
  <c r="GY10" i="1"/>
  <c r="CO4" i="1"/>
  <c r="HK17" i="1"/>
  <c r="R17" i="1"/>
  <c r="HR25" i="1"/>
  <c r="HK25" i="1"/>
  <c r="HW62" i="1"/>
  <c r="HS62" i="1"/>
  <c r="GT70" i="1"/>
  <c r="H136" i="1"/>
  <c r="F136" i="1"/>
  <c r="CJ89" i="1"/>
  <c r="HK4" i="1"/>
  <c r="HS54" i="1"/>
  <c r="CJ87" i="1"/>
  <c r="CK40" i="1"/>
  <c r="CM40" i="1" s="1"/>
  <c r="HW6" i="1"/>
  <c r="R10" i="1"/>
  <c r="HR10" i="1"/>
  <c r="CO16" i="1"/>
  <c r="HP25" i="1"/>
  <c r="C8" i="26"/>
  <c r="HR24" i="1"/>
  <c r="CO24" i="1"/>
  <c r="GY4" i="1"/>
  <c r="GG4" i="1"/>
  <c r="HE4" i="1" s="1"/>
  <c r="HR27" i="1"/>
  <c r="W27" i="1"/>
  <c r="CK34" i="1"/>
  <c r="CM34" i="1" s="1"/>
  <c r="HC105" i="1"/>
  <c r="V10" i="1"/>
  <c r="W10" i="1"/>
  <c r="HK27" i="1"/>
  <c r="HK20" i="1"/>
  <c r="CJ44" i="1"/>
  <c r="BN44" i="1"/>
  <c r="HK70" i="1"/>
  <c r="HK13" i="1"/>
  <c r="F217" i="1"/>
  <c r="B208" i="1"/>
  <c r="AD141" i="1"/>
  <c r="W32" i="1" s="1"/>
  <c r="C217" i="1"/>
  <c r="G136" i="1"/>
  <c r="GH15" i="1"/>
  <c r="HW15" i="1"/>
  <c r="HS15" i="1"/>
  <c r="CK33" i="1"/>
  <c r="CM33" i="1" s="1"/>
  <c r="BN33" i="1"/>
  <c r="C5" i="26"/>
  <c r="O141" i="1"/>
  <c r="I136" i="1"/>
  <c r="B217" i="1"/>
  <c r="CW90" i="1"/>
  <c r="CX90" i="1" s="1"/>
  <c r="CJ85" i="1"/>
  <c r="GN45" i="1" l="1"/>
  <c r="K117" i="26"/>
  <c r="D117" i="26"/>
  <c r="F117" i="26"/>
  <c r="G117" i="26"/>
  <c r="B117" i="26"/>
  <c r="E117" i="26"/>
  <c r="I117" i="26"/>
  <c r="J117" i="26"/>
  <c r="C117" i="26"/>
  <c r="H117" i="26"/>
  <c r="CK50" i="1"/>
  <c r="CM50" i="1" s="1"/>
  <c r="HS11" i="1"/>
  <c r="HW11" i="1"/>
  <c r="HS30" i="1"/>
  <c r="GI46" i="1"/>
  <c r="GH6" i="1"/>
  <c r="GH10" i="1"/>
  <c r="GH21" i="1"/>
  <c r="GH67" i="1"/>
  <c r="GI75" i="1"/>
  <c r="HS6" i="1"/>
  <c r="HW10" i="1"/>
  <c r="HS21" i="1"/>
  <c r="GI81" i="1"/>
  <c r="GJ29" i="1"/>
  <c r="GI63" i="1"/>
  <c r="GI29" i="1"/>
  <c r="GI41" i="1"/>
  <c r="GJ15" i="1"/>
  <c r="GI70" i="1"/>
  <c r="GI45" i="1"/>
  <c r="HW21" i="1"/>
  <c r="GI42" i="1"/>
  <c r="GJ10" i="1"/>
  <c r="GJ42" i="1"/>
  <c r="GI59" i="1"/>
  <c r="GJ11" i="1"/>
  <c r="GI66" i="1"/>
  <c r="GJ59" i="1"/>
  <c r="GI43" i="1"/>
  <c r="GJ66" i="1"/>
  <c r="GI15" i="1"/>
  <c r="GN70" i="1"/>
  <c r="GJ75" i="1"/>
  <c r="GJ70" i="1"/>
  <c r="HE75" i="1"/>
  <c r="GF70" i="1"/>
  <c r="GH70" i="1" s="1"/>
  <c r="HW70" i="1"/>
  <c r="HS70" i="1"/>
  <c r="GI67" i="1"/>
  <c r="GN64" i="1"/>
  <c r="GI68" i="1"/>
  <c r="GI10" i="1"/>
  <c r="GI21" i="1"/>
  <c r="GI6" i="1"/>
  <c r="GI44" i="1"/>
  <c r="GI30" i="1"/>
  <c r="HW68" i="1"/>
  <c r="GJ21" i="1"/>
  <c r="GJ43" i="1"/>
  <c r="GJ44" i="1"/>
  <c r="GJ30" i="1"/>
  <c r="GN38" i="1"/>
  <c r="HE38" i="1"/>
  <c r="GH65" i="1"/>
  <c r="HE65" i="1"/>
  <c r="GJ46" i="1"/>
  <c r="GJ67" i="1"/>
  <c r="GJ6" i="1"/>
  <c r="GJ41" i="1"/>
  <c r="GJ68" i="1"/>
  <c r="GJ45" i="1"/>
  <c r="GJ63" i="1"/>
  <c r="GJ81" i="1"/>
  <c r="GI11" i="1"/>
  <c r="HW38" i="1"/>
  <c r="GJ12" i="1"/>
  <c r="GI12" i="1"/>
  <c r="GI18" i="1"/>
  <c r="GJ18" i="1"/>
  <c r="HS22" i="1"/>
  <c r="GI22" i="1"/>
  <c r="GJ22" i="1"/>
  <c r="GJ20" i="1"/>
  <c r="GI20" i="1"/>
  <c r="HS38" i="1"/>
  <c r="GJ38" i="1"/>
  <c r="GI38" i="1"/>
  <c r="GJ7" i="1"/>
  <c r="GI7" i="1"/>
  <c r="GJ33" i="1"/>
  <c r="GI33" i="1"/>
  <c r="GJ32" i="1"/>
  <c r="GI32" i="1"/>
  <c r="GN65" i="1"/>
  <c r="GJ65" i="1"/>
  <c r="GI65" i="1"/>
  <c r="GJ24" i="1"/>
  <c r="GI24" i="1"/>
  <c r="HS19" i="1"/>
  <c r="GJ19" i="1"/>
  <c r="GI19" i="1"/>
  <c r="GN69" i="1"/>
  <c r="GJ69" i="1"/>
  <c r="GI69" i="1"/>
  <c r="HW23" i="1"/>
  <c r="GJ23" i="1"/>
  <c r="GI23" i="1"/>
  <c r="GI26" i="1"/>
  <c r="GJ26" i="1"/>
  <c r="HW35" i="1"/>
  <c r="GI35" i="1"/>
  <c r="GJ35" i="1"/>
  <c r="GJ8" i="1"/>
  <c r="GI8" i="1"/>
  <c r="HW17" i="1"/>
  <c r="GJ17" i="1"/>
  <c r="GI17" i="1"/>
  <c r="GJ62" i="1"/>
  <c r="GI62" i="1"/>
  <c r="GJ9" i="1"/>
  <c r="GI9" i="1"/>
  <c r="GJ27" i="1"/>
  <c r="GI27" i="1"/>
  <c r="GI28" i="1"/>
  <c r="GJ28" i="1"/>
  <c r="GH48" i="1"/>
  <c r="GJ48" i="1"/>
  <c r="GI48" i="1"/>
  <c r="HS16" i="1"/>
  <c r="GJ16" i="1"/>
  <c r="GI16" i="1"/>
  <c r="GI56" i="1"/>
  <c r="GJ56" i="1"/>
  <c r="GN49" i="1"/>
  <c r="GJ49" i="1"/>
  <c r="GI49" i="1"/>
  <c r="GJ25" i="1"/>
  <c r="GI25" i="1"/>
  <c r="GH34" i="1"/>
  <c r="GJ34" i="1"/>
  <c r="GI34" i="1"/>
  <c r="GJ36" i="1"/>
  <c r="GI36" i="1"/>
  <c r="GI14" i="1"/>
  <c r="GJ14" i="1"/>
  <c r="GJ5" i="1"/>
  <c r="GI5" i="1"/>
  <c r="GJ4" i="1"/>
  <c r="GI4" i="1"/>
  <c r="GJ3" i="1"/>
  <c r="GI3" i="1"/>
  <c r="GJ13" i="1"/>
  <c r="GI13" i="1"/>
  <c r="GJ64" i="1"/>
  <c r="GI64" i="1"/>
  <c r="GJ47" i="1"/>
  <c r="GI47" i="1"/>
  <c r="HW40" i="1"/>
  <c r="GI40" i="1"/>
  <c r="GJ40" i="1"/>
  <c r="HS37" i="1"/>
  <c r="GJ37" i="1"/>
  <c r="GI37" i="1"/>
  <c r="GJ31" i="1"/>
  <c r="GI31" i="1"/>
  <c r="Y15" i="1"/>
  <c r="U15" i="1"/>
  <c r="HP105" i="1"/>
  <c r="GH30" i="1"/>
  <c r="HW30" i="1"/>
  <c r="HR105" i="1"/>
  <c r="HK105" i="1"/>
  <c r="HH105" i="1"/>
  <c r="GH49" i="1"/>
  <c r="GH68" i="1"/>
  <c r="GN68" i="1"/>
  <c r="HW69" i="1"/>
  <c r="GH69" i="1"/>
  <c r="HS69" i="1"/>
  <c r="HS32" i="1"/>
  <c r="HW32" i="1"/>
  <c r="GH32" i="1"/>
  <c r="C202" i="1"/>
  <c r="C208" i="1" s="1"/>
  <c r="B101" i="26"/>
  <c r="I27" i="26"/>
  <c r="G28" i="26"/>
  <c r="G27" i="26"/>
  <c r="J28" i="26"/>
  <c r="J27" i="26"/>
  <c r="CC43" i="1"/>
  <c r="C54" i="26" s="1"/>
  <c r="H27" i="26"/>
  <c r="B108" i="26"/>
  <c r="B6" i="26"/>
  <c r="HR47" i="1"/>
  <c r="B104" i="26"/>
  <c r="HP47" i="1"/>
  <c r="HI105" i="1"/>
  <c r="CO91" i="1"/>
  <c r="FS59" i="1"/>
  <c r="FY59" i="1" s="1"/>
  <c r="FS90" i="1"/>
  <c r="FY90" i="1" s="1"/>
  <c r="FS57" i="1"/>
  <c r="FY57" i="1" s="1"/>
  <c r="FS50" i="1"/>
  <c r="FY50" i="1" s="1"/>
  <c r="R47" i="1"/>
  <c r="HJ105" i="1"/>
  <c r="B23" i="26"/>
  <c r="AK47" i="1"/>
  <c r="CK72" i="1"/>
  <c r="CM72" i="1" s="1"/>
  <c r="FS72" i="1"/>
  <c r="FY72" i="1" s="1"/>
  <c r="BN43" i="1"/>
  <c r="FS43" i="1"/>
  <c r="FY43" i="1" s="1"/>
  <c r="CK54" i="1"/>
  <c r="CM54" i="1" s="1"/>
  <c r="FS54" i="1"/>
  <c r="FY54" i="1" s="1"/>
  <c r="CK91" i="1"/>
  <c r="CM91" i="1" s="1"/>
  <c r="FS91" i="1"/>
  <c r="FY91" i="1" s="1"/>
  <c r="CK85" i="1"/>
  <c r="CM85" i="1" s="1"/>
  <c r="FS85" i="1"/>
  <c r="FY85" i="1" s="1"/>
  <c r="CK53" i="1"/>
  <c r="CM53" i="1" s="1"/>
  <c r="FS53" i="1"/>
  <c r="FY53" i="1" s="1"/>
  <c r="CK74" i="1"/>
  <c r="CM74" i="1" s="1"/>
  <c r="FS74" i="1"/>
  <c r="FY74" i="1" s="1"/>
  <c r="CK73" i="1"/>
  <c r="CM73" i="1" s="1"/>
  <c r="FS73" i="1"/>
  <c r="FY73" i="1" s="1"/>
  <c r="CK52" i="1"/>
  <c r="CM52" i="1" s="1"/>
  <c r="FS52" i="1"/>
  <c r="FY52" i="1" s="1"/>
  <c r="CK101" i="1"/>
  <c r="CM101" i="1" s="1"/>
  <c r="FS101" i="1"/>
  <c r="FY101" i="1" s="1"/>
  <c r="CK103" i="1"/>
  <c r="CM103" i="1" s="1"/>
  <c r="FS103" i="1"/>
  <c r="FY103" i="1" s="1"/>
  <c r="CK86" i="1"/>
  <c r="CM86" i="1" s="1"/>
  <c r="FS86" i="1"/>
  <c r="FY86" i="1" s="1"/>
  <c r="CK88" i="1"/>
  <c r="CM88" i="1" s="1"/>
  <c r="FS88" i="1"/>
  <c r="FY88" i="1" s="1"/>
  <c r="CK71" i="1"/>
  <c r="CM71" i="1" s="1"/>
  <c r="FS71" i="1"/>
  <c r="FY71" i="1" s="1"/>
  <c r="CK87" i="1"/>
  <c r="CM87" i="1" s="1"/>
  <c r="FS87" i="1"/>
  <c r="FY87" i="1" s="1"/>
  <c r="CK55" i="1"/>
  <c r="CM55" i="1" s="1"/>
  <c r="FS55" i="1"/>
  <c r="FY55" i="1" s="1"/>
  <c r="CK51" i="1"/>
  <c r="CM51" i="1" s="1"/>
  <c r="FS51" i="1"/>
  <c r="FY51" i="1" s="1"/>
  <c r="CK89" i="1"/>
  <c r="CM89" i="1" s="1"/>
  <c r="FS89" i="1"/>
  <c r="FY89" i="1" s="1"/>
  <c r="C25" i="26"/>
  <c r="H25" i="26"/>
  <c r="B19" i="26"/>
  <c r="F22" i="26"/>
  <c r="F24" i="26"/>
  <c r="I26" i="26"/>
  <c r="D25" i="26"/>
  <c r="F26" i="26"/>
  <c r="H21" i="26"/>
  <c r="C21" i="26"/>
  <c r="B24" i="26"/>
  <c r="B20" i="26"/>
  <c r="C22" i="26"/>
  <c r="D19" i="26"/>
  <c r="H19" i="26"/>
  <c r="C26" i="26"/>
  <c r="G20" i="26"/>
  <c r="I21" i="26"/>
  <c r="E21" i="26"/>
  <c r="E23" i="26"/>
  <c r="G22" i="26"/>
  <c r="I23" i="26"/>
  <c r="G24" i="26"/>
  <c r="E25" i="26"/>
  <c r="B9" i="26"/>
  <c r="J26" i="26"/>
  <c r="J25" i="26"/>
  <c r="J22" i="26"/>
  <c r="J24" i="26"/>
  <c r="J21" i="26"/>
  <c r="J23" i="26"/>
  <c r="J19" i="26"/>
  <c r="J20" i="26"/>
  <c r="H23" i="26"/>
  <c r="I19" i="26"/>
  <c r="F21" i="26"/>
  <c r="U32" i="1"/>
  <c r="Y32" i="1"/>
  <c r="D24" i="26"/>
  <c r="H26" i="26"/>
  <c r="CX99" i="1"/>
  <c r="J36" i="26" s="1"/>
  <c r="C19" i="26"/>
  <c r="B25" i="26"/>
  <c r="D20" i="26"/>
  <c r="H22" i="26"/>
  <c r="F25" i="26"/>
  <c r="F20" i="26"/>
  <c r="D21" i="26"/>
  <c r="E19" i="26"/>
  <c r="H20" i="26"/>
  <c r="F23" i="26"/>
  <c r="D26" i="26"/>
  <c r="D23" i="26"/>
  <c r="G26" i="26"/>
  <c r="B21" i="26"/>
  <c r="C23" i="26"/>
  <c r="D22" i="26"/>
  <c r="H24" i="26"/>
  <c r="G19" i="26"/>
  <c r="B26" i="26"/>
  <c r="C24" i="26"/>
  <c r="B22" i="26"/>
  <c r="CK41" i="1"/>
  <c r="CM41" i="1" s="1"/>
  <c r="BN41" i="1"/>
  <c r="F19" i="26"/>
  <c r="C20" i="26"/>
  <c r="E20" i="26"/>
  <c r="I20" i="26"/>
  <c r="E24" i="26"/>
  <c r="G21" i="26"/>
  <c r="G23" i="26"/>
  <c r="CK90" i="1"/>
  <c r="CM90" i="1" s="1"/>
  <c r="E22" i="26"/>
  <c r="I24" i="26"/>
  <c r="I22" i="26"/>
  <c r="G25" i="26"/>
  <c r="E26" i="26"/>
  <c r="AD105" i="1"/>
  <c r="AD109" i="1"/>
  <c r="W47" i="1"/>
  <c r="HK109" i="1"/>
  <c r="P153" i="1"/>
  <c r="B136" i="1"/>
  <c r="HS45" i="1"/>
  <c r="HW45" i="1"/>
  <c r="CK59" i="1"/>
  <c r="CM59" i="1" s="1"/>
  <c r="BN59" i="1"/>
  <c r="CK69" i="1"/>
  <c r="CM69" i="1" s="1"/>
  <c r="CK57" i="1"/>
  <c r="CM57" i="1" s="1"/>
  <c r="BN57" i="1"/>
  <c r="HE2" i="1"/>
  <c r="B53" i="26"/>
  <c r="CO101" i="1"/>
  <c r="CK47" i="1"/>
  <c r="CM47" i="1" s="1"/>
  <c r="D138" i="1"/>
  <c r="BN42" i="1"/>
  <c r="K140" i="26"/>
  <c r="K139" i="26"/>
  <c r="K138" i="26"/>
  <c r="H138" i="1"/>
  <c r="P158" i="1"/>
  <c r="I138" i="1"/>
  <c r="P159" i="1"/>
  <c r="C138" i="1"/>
  <c r="G138" i="1"/>
  <c r="P157" i="1"/>
  <c r="F138" i="1"/>
  <c r="P156" i="1"/>
  <c r="E138" i="1"/>
  <c r="P155" i="1"/>
  <c r="X112" i="1"/>
  <c r="CK46" i="1"/>
  <c r="CM46" i="1" s="1"/>
  <c r="BN46" i="1"/>
  <c r="GH18" i="1"/>
  <c r="GH41" i="1"/>
  <c r="CO87" i="1"/>
  <c r="CO88" i="1"/>
  <c r="CO85" i="1"/>
  <c r="CO74" i="1"/>
  <c r="CO51" i="1"/>
  <c r="CO71" i="1"/>
  <c r="CO89" i="1"/>
  <c r="CO52" i="1"/>
  <c r="CO50" i="1"/>
  <c r="CO55" i="1"/>
  <c r="CO73" i="1"/>
  <c r="CK48" i="1"/>
  <c r="CM48" i="1" s="1"/>
  <c r="CK45" i="1"/>
  <c r="CM45" i="1" s="1"/>
  <c r="HW41" i="1"/>
  <c r="GN41" i="1"/>
  <c r="CO53" i="1"/>
  <c r="HW37" i="1"/>
  <c r="GN37" i="1"/>
  <c r="GN67" i="1"/>
  <c r="GH37" i="1"/>
  <c r="GU105" i="1"/>
  <c r="GH75" i="1"/>
  <c r="GH33" i="1"/>
  <c r="HS2" i="1"/>
  <c r="GT105" i="1"/>
  <c r="GH7" i="1"/>
  <c r="GH42" i="1"/>
  <c r="HW22" i="1"/>
  <c r="GH22" i="1"/>
  <c r="HS18" i="1"/>
  <c r="HW18" i="1"/>
  <c r="GH17" i="1"/>
  <c r="HO109" i="1"/>
  <c r="CK43" i="1"/>
  <c r="CM43" i="1" s="1"/>
  <c r="GU109" i="1"/>
  <c r="GI2" i="1"/>
  <c r="GH64" i="1"/>
  <c r="HF127" i="1"/>
  <c r="HI124" i="1"/>
  <c r="GN59" i="1"/>
  <c r="GH59" i="1"/>
  <c r="GY37" i="1"/>
  <c r="HW36" i="1"/>
  <c r="HS34" i="1"/>
  <c r="HH109" i="1"/>
  <c r="GN56" i="1"/>
  <c r="GH56" i="1"/>
  <c r="GH35" i="1"/>
  <c r="GN36" i="1"/>
  <c r="CO70" i="1"/>
  <c r="GH20" i="1"/>
  <c r="HW16" i="1"/>
  <c r="HW20" i="1"/>
  <c r="HS17" i="1"/>
  <c r="HI123" i="1"/>
  <c r="GJ2" i="1"/>
  <c r="HW2" i="1"/>
  <c r="GH2" i="1"/>
  <c r="GH16" i="1"/>
  <c r="HS25" i="1"/>
  <c r="HW25" i="1"/>
  <c r="HS13" i="1"/>
  <c r="GH25" i="1"/>
  <c r="GM109" i="1"/>
  <c r="HS41" i="1"/>
  <c r="GH19" i="1"/>
  <c r="HW34" i="1"/>
  <c r="HS26" i="1"/>
  <c r="HS33" i="1"/>
  <c r="HW33" i="1"/>
  <c r="HS20" i="1"/>
  <c r="GY42" i="1"/>
  <c r="HW19" i="1"/>
  <c r="HS35" i="1"/>
  <c r="HI126" i="1"/>
  <c r="GN48" i="1"/>
  <c r="HS24" i="1"/>
  <c r="HW7" i="1"/>
  <c r="HS40" i="1"/>
  <c r="HS8" i="1"/>
  <c r="GH23" i="1"/>
  <c r="HW13" i="1"/>
  <c r="GH13" i="1"/>
  <c r="GH26" i="1"/>
  <c r="HW26" i="1"/>
  <c r="HW28" i="1"/>
  <c r="HS28" i="1"/>
  <c r="GH28" i="1"/>
  <c r="HW24" i="1"/>
  <c r="GN24" i="1"/>
  <c r="GH24" i="1"/>
  <c r="GN42" i="1"/>
  <c r="HS42" i="1"/>
  <c r="HS23" i="1"/>
  <c r="HW8" i="1"/>
  <c r="CO43" i="1"/>
  <c r="CO54" i="1"/>
  <c r="CO57" i="1"/>
  <c r="HS29" i="1"/>
  <c r="GH29" i="1"/>
  <c r="HW29" i="1"/>
  <c r="GH81" i="1"/>
  <c r="GN81" i="1"/>
  <c r="HB127" i="1"/>
  <c r="CO103" i="1"/>
  <c r="HW48" i="1"/>
  <c r="HS48" i="1"/>
  <c r="GN40" i="1"/>
  <c r="HS7" i="1"/>
  <c r="GH40" i="1"/>
  <c r="GH12" i="1"/>
  <c r="HS12" i="1"/>
  <c r="HW12" i="1"/>
  <c r="GH62" i="1"/>
  <c r="GN62" i="1"/>
  <c r="GH36" i="1"/>
  <c r="GH8" i="1"/>
  <c r="GH27" i="1"/>
  <c r="HW27" i="1"/>
  <c r="HS27" i="1"/>
  <c r="GH31" i="1"/>
  <c r="HW31" i="1"/>
  <c r="HS31" i="1"/>
  <c r="GH5" i="1"/>
  <c r="HW5" i="1"/>
  <c r="HS5" i="1"/>
  <c r="HW3" i="1"/>
  <c r="HS3" i="1"/>
  <c r="GH3" i="1"/>
  <c r="CK44" i="1"/>
  <c r="CM44" i="1" s="1"/>
  <c r="HW14" i="1"/>
  <c r="HS14" i="1"/>
  <c r="GH14" i="1"/>
  <c r="GN66" i="1"/>
  <c r="GH66" i="1"/>
  <c r="HS44" i="1"/>
  <c r="GH44" i="1"/>
  <c r="HW44" i="1"/>
  <c r="GN44" i="1"/>
  <c r="HS46" i="1"/>
  <c r="HW46" i="1"/>
  <c r="GH46" i="1"/>
  <c r="GN46" i="1"/>
  <c r="E15" i="26"/>
  <c r="HW47" i="1"/>
  <c r="HS47" i="1"/>
  <c r="GN47" i="1"/>
  <c r="GH43" i="1"/>
  <c r="HW43" i="1"/>
  <c r="GN43" i="1"/>
  <c r="HS43" i="1"/>
  <c r="C15" i="26"/>
  <c r="HS9" i="1"/>
  <c r="HW9" i="1"/>
  <c r="GH9" i="1"/>
  <c r="B96" i="26"/>
  <c r="CO42" i="1"/>
  <c r="HW4" i="1"/>
  <c r="GH4" i="1"/>
  <c r="HS4" i="1"/>
  <c r="CO44" i="1"/>
  <c r="B15" i="26" l="1"/>
  <c r="B57" i="26"/>
  <c r="B58" i="26"/>
  <c r="V15" i="1"/>
  <c r="R15" i="1"/>
  <c r="W15" i="1"/>
  <c r="HS105" i="1"/>
  <c r="E55" i="26" a="1"/>
  <c r="E55" i="26" s="1"/>
  <c r="E51" i="26" a="1"/>
  <c r="E51" i="26" s="1"/>
  <c r="E57" i="26" a="1"/>
  <c r="E57" i="26" s="1"/>
  <c r="E50" i="26" a="1"/>
  <c r="E50" i="26" s="1"/>
  <c r="E53" i="26" a="1"/>
  <c r="E53" i="26" s="1"/>
  <c r="E56" i="26" a="1"/>
  <c r="E56" i="26" s="1"/>
  <c r="E52" i="26" a="1"/>
  <c r="E52" i="26" s="1"/>
  <c r="G58" i="26" a="1"/>
  <c r="G58" i="26" s="1"/>
  <c r="F39" i="26"/>
  <c r="H38" i="26"/>
  <c r="J32" i="26"/>
  <c r="J37" i="26"/>
  <c r="G57" i="26" a="1"/>
  <c r="G57" i="26" s="1"/>
  <c r="G52" i="26" a="1"/>
  <c r="G52" i="26" s="1"/>
  <c r="G51" i="26" a="1"/>
  <c r="G51" i="26" s="1"/>
  <c r="I38" i="26"/>
  <c r="G39" i="26"/>
  <c r="G38" i="26"/>
  <c r="J39" i="26"/>
  <c r="G50" i="26" a="1"/>
  <c r="G50" i="26" s="1"/>
  <c r="G55" i="26" a="1"/>
  <c r="G55" i="26" s="1"/>
  <c r="G54" i="26" a="1"/>
  <c r="G54" i="26" s="1"/>
  <c r="J31" i="26"/>
  <c r="J34" i="26"/>
  <c r="H39" i="26"/>
  <c r="J33" i="26"/>
  <c r="G56" i="26" a="1"/>
  <c r="G56" i="26" s="1"/>
  <c r="F38" i="26"/>
  <c r="I39" i="26"/>
  <c r="J35" i="26"/>
  <c r="J38" i="26"/>
  <c r="G53" i="26" a="1"/>
  <c r="G53" i="26" s="1"/>
  <c r="CK99" i="1"/>
  <c r="CM99" i="1" s="1"/>
  <c r="FS99" i="1"/>
  <c r="FY99" i="1" s="1"/>
  <c r="B54" i="26"/>
  <c r="AK109" i="1"/>
  <c r="G112" i="1"/>
  <c r="D11" i="26"/>
  <c r="GZ109" i="1"/>
  <c r="T110" i="1"/>
  <c r="AF110" i="1"/>
  <c r="AE110" i="1"/>
  <c r="HJ109" i="1"/>
  <c r="GS109" i="1"/>
  <c r="HP109" i="1"/>
  <c r="HI109" i="1"/>
  <c r="BN58" i="1"/>
  <c r="M168" i="26"/>
  <c r="M165" i="26"/>
  <c r="M167" i="26"/>
  <c r="M170" i="26"/>
  <c r="M171" i="26"/>
  <c r="M169" i="26"/>
  <c r="M172" i="26"/>
  <c r="M166" i="26"/>
  <c r="M164" i="26"/>
  <c r="C34" i="26"/>
  <c r="I32" i="26"/>
  <c r="I36" i="26"/>
  <c r="C31" i="26"/>
  <c r="I35" i="26"/>
  <c r="B32" i="26"/>
  <c r="B36" i="26"/>
  <c r="B33" i="26"/>
  <c r="B37" i="26"/>
  <c r="I33" i="26"/>
  <c r="I37" i="26"/>
  <c r="B34" i="26"/>
  <c r="B31" i="26"/>
  <c r="I34" i="26"/>
  <c r="I31" i="26"/>
  <c r="B35" i="26"/>
  <c r="E37" i="26"/>
  <c r="C33" i="26"/>
  <c r="C35" i="26"/>
  <c r="D33" i="26"/>
  <c r="E36" i="26"/>
  <c r="H32" i="26"/>
  <c r="G35" i="26"/>
  <c r="D12" i="26"/>
  <c r="H31" i="26"/>
  <c r="G33" i="26"/>
  <c r="F31" i="26"/>
  <c r="E32" i="26"/>
  <c r="E34" i="26"/>
  <c r="H37" i="26"/>
  <c r="F34" i="26"/>
  <c r="F36" i="26"/>
  <c r="E33" i="26"/>
  <c r="F35" i="26"/>
  <c r="C36" i="26"/>
  <c r="D34" i="26"/>
  <c r="D36" i="26"/>
  <c r="H33" i="26"/>
  <c r="G36" i="26"/>
  <c r="F32" i="26"/>
  <c r="D31" i="26"/>
  <c r="H35" i="26"/>
  <c r="C32" i="26"/>
  <c r="G31" i="26"/>
  <c r="D32" i="26"/>
  <c r="E35" i="26"/>
  <c r="G32" i="26"/>
  <c r="G34" i="26"/>
  <c r="F37" i="26"/>
  <c r="D35" i="26"/>
  <c r="G37" i="26"/>
  <c r="C37" i="26"/>
  <c r="E31" i="26"/>
  <c r="D37" i="26"/>
  <c r="H34" i="26"/>
  <c r="H36" i="26"/>
  <c r="F33" i="26"/>
  <c r="D85" i="26"/>
  <c r="C84" i="26"/>
  <c r="C77" i="26"/>
  <c r="D84" i="26"/>
  <c r="C82" i="26"/>
  <c r="D79" i="26"/>
  <c r="C81" i="26"/>
  <c r="C79" i="26"/>
  <c r="D77" i="26"/>
  <c r="D78" i="26"/>
  <c r="D83" i="26"/>
  <c r="C85" i="26"/>
  <c r="D82" i="26"/>
  <c r="D81" i="26"/>
  <c r="C80" i="26"/>
  <c r="C83" i="26"/>
  <c r="D80" i="26"/>
  <c r="C78" i="26"/>
  <c r="B85" i="26"/>
  <c r="B83" i="26"/>
  <c r="CK70" i="1"/>
  <c r="CM70" i="1" s="1"/>
  <c r="B56" i="26" s="1"/>
  <c r="B77" i="26"/>
  <c r="B78" i="26"/>
  <c r="B81" i="26"/>
  <c r="B82" i="26"/>
  <c r="B79" i="26"/>
  <c r="B84" i="26"/>
  <c r="B80" i="26"/>
  <c r="M141" i="26"/>
  <c r="K141" i="26"/>
  <c r="D6" i="26"/>
  <c r="D14" i="26"/>
  <c r="D13" i="26"/>
  <c r="D9" i="26"/>
  <c r="D10" i="26"/>
  <c r="D8" i="26"/>
  <c r="D5" i="26"/>
  <c r="D4" i="26"/>
  <c r="D7" i="26"/>
  <c r="HR109" i="1"/>
  <c r="HI127" i="1"/>
  <c r="GY105" i="1"/>
  <c r="GY109" i="1"/>
  <c r="HW109" i="1"/>
  <c r="HE105" i="1"/>
  <c r="D57" i="26" l="1" a="1"/>
  <c r="D57" i="26" s="1"/>
  <c r="F51" i="26" a="1"/>
  <c r="F51" i="26" s="1"/>
  <c r="F50" i="26" a="1"/>
  <c r="F50" i="26" s="1"/>
  <c r="D53" i="26" a="1"/>
  <c r="D53" i="26" s="1"/>
  <c r="D51" i="26" a="1"/>
  <c r="D51" i="26" s="1"/>
  <c r="B55" i="26"/>
  <c r="F55" i="26" a="1"/>
  <c r="F55" i="26" s="1"/>
  <c r="F57" i="26" a="1"/>
  <c r="F57" i="26" s="1"/>
  <c r="F52" i="26" a="1"/>
  <c r="F52" i="26" s="1"/>
  <c r="F54" i="26" a="1"/>
  <c r="F54" i="26" s="1"/>
  <c r="F58" i="26" a="1"/>
  <c r="F58" i="26" s="1"/>
  <c r="D50" i="26" a="1"/>
  <c r="D50" i="26" s="1"/>
  <c r="D52" i="26" a="1"/>
  <c r="D52" i="26" s="1"/>
  <c r="F56" i="26" a="1"/>
  <c r="F56" i="26" s="1"/>
  <c r="D58" i="26" a="1"/>
  <c r="D58" i="26" s="1"/>
  <c r="D55" i="26" a="1"/>
  <c r="D55" i="26" s="1"/>
  <c r="D56" i="26" a="1"/>
  <c r="D56" i="26" s="1"/>
  <c r="F53" i="26" a="1"/>
  <c r="F53" i="26" s="1"/>
  <c r="D15" i="26"/>
  <c r="HV58" i="1"/>
  <c r="C63" i="26" s="1"/>
  <c r="B66" i="26" l="1"/>
  <c r="C69" i="26"/>
  <c r="D63" i="26"/>
  <c r="D69" i="26"/>
  <c r="B63" i="26"/>
  <c r="C66" i="26"/>
  <c r="B69" i="26"/>
  <c r="B72" i="26"/>
  <c r="D64" i="26"/>
  <c r="C65" i="26"/>
  <c r="D70" i="26"/>
  <c r="B68" i="26"/>
  <c r="C64" i="26"/>
  <c r="C68" i="26"/>
  <c r="D72" i="26"/>
  <c r="C70" i="26"/>
  <c r="D68" i="26"/>
  <c r="B70" i="26"/>
  <c r="D65" i="26"/>
  <c r="D66" i="26"/>
  <c r="B71" i="26"/>
  <c r="D67" i="26"/>
  <c r="HV105" i="1"/>
  <c r="C72" i="26"/>
  <c r="GG58" i="1"/>
  <c r="GF58" i="1"/>
  <c r="C67" i="26"/>
  <c r="B65" i="26"/>
  <c r="C71" i="26"/>
  <c r="D71" i="26"/>
  <c r="B67" i="26"/>
  <c r="B64" i="26"/>
  <c r="HV109" i="1"/>
  <c r="GF105" i="1" l="1"/>
  <c r="HS58" i="1"/>
  <c r="GF109" i="1"/>
  <c r="GJ58" i="1"/>
  <c r="D172" i="26"/>
  <c r="GN58" i="1"/>
  <c r="GH58" i="1"/>
  <c r="B168" i="26"/>
  <c r="D167" i="26"/>
  <c r="D168" i="26"/>
  <c r="GG109" i="1"/>
  <c r="B165" i="26"/>
  <c r="C165" i="26" s="1"/>
  <c r="D171" i="26"/>
  <c r="B172" i="26"/>
  <c r="B164" i="26"/>
  <c r="B171" i="26"/>
  <c r="B169" i="26"/>
  <c r="HW58" i="1"/>
  <c r="HW105" i="1" s="1"/>
  <c r="B166" i="26"/>
  <c r="D170" i="26"/>
  <c r="GG105" i="1"/>
  <c r="B170" i="26"/>
  <c r="D166" i="26"/>
  <c r="B167" i="26"/>
  <c r="C167" i="26" s="1"/>
  <c r="D165" i="26"/>
  <c r="GI58" i="1"/>
  <c r="HE58" i="1"/>
  <c r="D164" i="26"/>
  <c r="D169" i="26"/>
  <c r="E169" i="26" l="1"/>
  <c r="E166" i="26"/>
  <c r="C166" i="26"/>
  <c r="GG113" i="1"/>
  <c r="GG112" i="1"/>
  <c r="GI109" i="1"/>
  <c r="GJ109" i="1"/>
  <c r="GH105" i="1"/>
  <c r="GH109" i="1"/>
  <c r="HB110" i="1"/>
  <c r="GP110" i="1"/>
  <c r="C168" i="26"/>
  <c r="E168" i="26"/>
  <c r="E165" i="26"/>
  <c r="C169" i="26"/>
  <c r="E167" i="26"/>
  <c r="GG114" i="1" l="1"/>
</calcChain>
</file>

<file path=xl/comments1.xml><?xml version="1.0" encoding="utf-8"?>
<comments xmlns="http://schemas.openxmlformats.org/spreadsheetml/2006/main">
  <authors>
    <author>Nathalie BLANDINO</author>
  </authors>
  <commentList>
    <comment ref="GF1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A1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V2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Q3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IV3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X3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FG3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IV3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IR4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01/09/17</t>
        </r>
      </text>
    </comment>
    <comment ref="GL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W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partie</t>
        </r>
      </text>
    </comment>
    <comment ref="IT4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28/08/17</t>
        </r>
      </text>
    </comment>
    <comment ref="IR4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07/09/17</t>
        </r>
      </text>
    </comment>
    <comment ref="IQ4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terrassements</t>
        </r>
      </text>
    </comment>
    <comment ref="IR47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09/10/17</t>
        </r>
      </text>
    </comment>
    <comment ref="EC5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  <comment ref="AJ6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EZ6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IO66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</commentList>
</comments>
</file>

<file path=xl/sharedStrings.xml><?xml version="1.0" encoding="utf-8"?>
<sst xmlns="http://schemas.openxmlformats.org/spreadsheetml/2006/main" count="2218" uniqueCount="947">
  <si>
    <t>OPERATION</t>
  </si>
  <si>
    <t>COMMUNE</t>
  </si>
  <si>
    <t>CODE</t>
  </si>
  <si>
    <t>N</t>
  </si>
  <si>
    <t>Structure</t>
  </si>
  <si>
    <t>Arrangeur</t>
  </si>
  <si>
    <t>Convention CAF</t>
  </si>
  <si>
    <t>Arrêté LBU</t>
  </si>
  <si>
    <t>Date Dépôt DRFIP</t>
  </si>
  <si>
    <t>CAO</t>
  </si>
  <si>
    <t>RO</t>
  </si>
  <si>
    <t>OFOI</t>
  </si>
  <si>
    <t>INGEPAR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</si>
  <si>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</si>
  <si>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</si>
  <si>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</si>
  <si>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</si>
  <si>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</si>
  <si>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</si>
  <si>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</si>
  <si>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</si>
  <si>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</si>
  <si>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</si>
  <si>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</si>
  <si>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</si>
  <si>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</si>
  <si>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</si>
  <si>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</si>
  <si>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</si>
  <si>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</si>
  <si>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</si>
  <si>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</si>
  <si>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</si>
  <si>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</si>
  <si>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</si>
  <si>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</si>
  <si>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</si>
  <si>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</si>
  <si>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</si>
  <si>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</si>
  <si>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</si>
  <si>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</si>
  <si>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</si>
  <si>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</si>
  <si>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</si>
  <si>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</si>
  <si>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</si>
  <si>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</si>
  <si>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</si>
  <si>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</si>
  <si>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Tamariniers</t>
  </si>
  <si>
    <t>PRLC 0113</t>
  </si>
  <si>
    <t>Parc à Moutons</t>
  </si>
  <si>
    <t>PRLC 0121</t>
  </si>
  <si>
    <t>Josepha Fontaine</t>
  </si>
  <si>
    <t>PRLC 0122</t>
  </si>
  <si>
    <t>Amaryllis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</si>
  <si>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</si>
  <si>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</si>
  <si>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</si>
  <si>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</si>
  <si>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</si>
  <si>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</si>
  <si>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</si>
  <si>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</si>
  <si>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</si>
  <si>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</si>
  <si>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</si>
  <si>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</si>
  <si>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</si>
  <si>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</si>
  <si>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</si>
  <si>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</si>
  <si>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</si>
  <si>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</si>
  <si>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</si>
  <si>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</si>
  <si>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</si>
  <si>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 xml:space="preserve">Sceau de Salomon </t>
  </si>
  <si>
    <t>Bouton d'Or (Tampon 15e km)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</si>
  <si>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</si>
  <si>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</si>
  <si>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</si>
  <si>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</si>
  <si>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</si>
  <si>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</si>
  <si>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</si>
  <si>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</si>
  <si>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</si>
  <si>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</si>
  <si>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</si>
  <si>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</si>
  <si>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</si>
  <si>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</si>
  <si>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</si>
  <si>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</si>
  <si>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</si>
  <si>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PRP TTC </t>
  </si>
  <si>
    <t>BE</t>
  </si>
  <si>
    <t xml:space="preserve">PRÊT </t>
  </si>
  <si>
    <t xml:space="preserve">LBU y/c CAF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</si>
  <si>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</si>
  <si>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</si>
  <si>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</si>
  <si>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</si>
  <si>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</si>
  <si>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</si>
  <si>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</si>
  <si>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</si>
  <si>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</si>
  <si>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</si>
  <si>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</si>
  <si>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</si>
  <si>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</si>
  <si>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</si>
  <si>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</si>
  <si>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</si>
  <si>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</si>
  <si>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</si>
  <si>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</si>
  <si>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</si>
  <si>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</si>
  <si>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</si>
  <si>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</si>
  <si>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</si>
  <si>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</si>
  <si>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</si>
  <si>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LOGIS 4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</si>
  <si>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</si>
  <si>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</si>
  <si>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</si>
  <si>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</si>
  <si>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</si>
  <si>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</si>
  <si>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</si>
  <si>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</si>
  <si>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</si>
  <si>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</si>
  <si>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</si>
  <si>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</si>
  <si>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LS 75</t>
  </si>
  <si>
    <t>FONDS PROPRES CONSTRUCTION</t>
  </si>
  <si>
    <t>FANFAN</t>
  </si>
  <si>
    <t>LS 76</t>
  </si>
  <si>
    <t>DUBOIS</t>
  </si>
  <si>
    <t>BARET/GILLOT</t>
  </si>
  <si>
    <t>LOGIS 5</t>
  </si>
  <si>
    <t>BBL</t>
  </si>
  <si>
    <t>LS 73</t>
  </si>
  <si>
    <t>DOMBEYA 3</t>
  </si>
  <si>
    <t>MAREL</t>
  </si>
  <si>
    <t>LS 77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</si>
  <si>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</si>
  <si>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</si>
  <si>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</si>
  <si>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</si>
  <si>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</si>
  <si>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</si>
  <si>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</si>
  <si>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</si>
  <si>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</si>
  <si>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</si>
  <si>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</si>
  <si>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</si>
  <si>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0159</t>
  </si>
  <si>
    <t>AX 18</t>
  </si>
  <si>
    <t>PRLC 0153</t>
  </si>
  <si>
    <t>Terrain Michel CV</t>
  </si>
  <si>
    <t>PRLC 0151</t>
  </si>
  <si>
    <t>PRLC 0155</t>
  </si>
  <si>
    <t>PRP GLOBAL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</si>
  <si>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</si>
  <si>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</si>
  <si>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</si>
  <si>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</si>
  <si>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</si>
  <si>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</si>
  <si>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</si>
  <si>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</si>
  <si>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</si>
  <si>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</si>
  <si>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Transmission garanties à CDC</t>
  </si>
  <si>
    <t>CR + CASUD = 19/12/13
CG = 15/01/14
Commune = 15/01/14</t>
  </si>
  <si>
    <t>SRI</t>
  </si>
  <si>
    <t>NLE</t>
  </si>
  <si>
    <t>DBE</t>
  </si>
  <si>
    <t>BELLANGER</t>
  </si>
  <si>
    <t>Loyer max</t>
  </si>
  <si>
    <t>Loyer d'équilibre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</si>
  <si>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</si>
  <si>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</si>
  <si>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</si>
  <si>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</si>
  <si>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</si>
  <si>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</si>
  <si>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</si>
  <si>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</si>
  <si>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</si>
  <si>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</si>
  <si>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</si>
  <si>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</si>
  <si>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</si>
  <si>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</si>
  <si>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MICHEL</t>
  </si>
  <si>
    <t>PRLC 0161</t>
  </si>
  <si>
    <t>CAF</t>
  </si>
  <si>
    <t xml:space="preserve">CR + CASUD = 19/12/13
CG = 15/01/14
CM = OK - mank attest° affichage
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</si>
  <si>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</si>
  <si>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</si>
  <si>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</si>
  <si>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</si>
  <si>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</si>
  <si>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</si>
  <si>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</si>
  <si>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</si>
  <si>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</si>
  <si>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</si>
  <si>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</si>
  <si>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</si>
  <si>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</si>
  <si>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</si>
  <si>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</si>
  <si>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</si>
  <si>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</si>
  <si>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</si>
  <si>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</si>
  <si>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</si>
  <si>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</si>
  <si>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</si>
  <si>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</si>
  <si>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</si>
  <si>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</si>
  <si>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</si>
  <si>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</si>
  <si>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</si>
  <si>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</si>
  <si>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</si>
  <si>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</si>
  <si>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</si>
  <si>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</si>
  <si>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</si>
  <si>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</si>
  <si>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LS 101</t>
  </si>
  <si>
    <t>DENSITE</t>
  </si>
  <si>
    <t>IONIQUE 4</t>
  </si>
  <si>
    <t>PRIX VEFA HT</t>
  </si>
  <si>
    <t>PRIX AMENAGE/ LGT</t>
  </si>
  <si>
    <t>PRLC 0166</t>
  </si>
  <si>
    <t>ESQ</t>
  </si>
  <si>
    <t>BY 100</t>
  </si>
  <si>
    <t>SNC DORIQUE</t>
  </si>
  <si>
    <t>?</t>
  </si>
  <si>
    <t>PRLC 0171</t>
  </si>
  <si>
    <t xml:space="preserve">Bras Moutons </t>
  </si>
  <si>
    <t>LS 79</t>
  </si>
  <si>
    <t>LOGIS 7</t>
  </si>
  <si>
    <t>INTERINVEST</t>
  </si>
  <si>
    <t>Aubépines</t>
  </si>
  <si>
    <t>Ilot 6.2</t>
  </si>
  <si>
    <t>DCE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</si>
  <si>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</si>
  <si>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</si>
  <si>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</si>
  <si>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</si>
  <si>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</si>
  <si>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</si>
  <si>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</si>
  <si>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</si>
  <si>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Risque de recours des 1/3 sur PA (en cours de signature par le maire</t>
  </si>
  <si>
    <t>Travaux</t>
  </si>
  <si>
    <t>OS</t>
  </si>
  <si>
    <t>22/10/2014
cr 24/11/14 - modif à faire</t>
  </si>
  <si>
    <t>Avirons</t>
  </si>
  <si>
    <t>28/10/2014
12/01/15</t>
  </si>
  <si>
    <t>UB4</t>
  </si>
  <si>
    <t>Lacaussade 3</t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</si>
  <si>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</si>
  <si>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</si>
  <si>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</si>
  <si>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</si>
  <si>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</si>
  <si>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</si>
  <si>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Phase</t>
  </si>
  <si>
    <t>LOGIS 9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</si>
  <si>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</si>
  <si>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</si>
  <si>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</si>
  <si>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</si>
  <si>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</si>
  <si>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</si>
  <si>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</si>
  <si>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CIVIS 25/05/15
Région 12/06/15
Commune 29/06/15
CG 30/06/15</t>
  </si>
  <si>
    <t>EGI</t>
  </si>
  <si>
    <t>SNC ALESIA 1</t>
  </si>
  <si>
    <t>SNC ALESIA 6</t>
  </si>
  <si>
    <t>LS 118</t>
  </si>
  <si>
    <t>Transmission Ct Prêt à DAF</t>
  </si>
  <si>
    <t>PRLC 0178</t>
  </si>
  <si>
    <t>PRLC 0179</t>
  </si>
  <si>
    <t>OS démarrage</t>
  </si>
  <si>
    <t>Date réception entreprises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</si>
  <si>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</si>
  <si>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</si>
  <si>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</si>
  <si>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</si>
  <si>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</si>
  <si>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</si>
  <si>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</si>
  <si>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</si>
  <si>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</si>
  <si>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</si>
  <si>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</si>
  <si>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</si>
  <si>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</si>
  <si>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</si>
  <si>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</si>
  <si>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Archi conseil DEAL</t>
  </si>
  <si>
    <t>CA</t>
  </si>
  <si>
    <t>Clôture DO</t>
  </si>
  <si>
    <t>DAT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</si>
  <si>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</si>
  <si>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</si>
  <si>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</si>
  <si>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</si>
  <si>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</si>
  <si>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</si>
  <si>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en cours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</si>
  <si>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</si>
  <si>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</si>
  <si>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</si>
  <si>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</si>
  <si>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</si>
  <si>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</si>
  <si>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</si>
  <si>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</si>
  <si>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</si>
  <si>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20/03/2014 &amp; 06/11/14
13/10/15</t>
  </si>
  <si>
    <t>x</t>
  </si>
  <si>
    <t>Mairie 02/11/15</t>
  </si>
  <si>
    <t>CONTRÔLE DEAL</t>
  </si>
  <si>
    <t>PARCELLE</t>
  </si>
  <si>
    <t>BX 855</t>
  </si>
  <si>
    <t>RPA Du Parc</t>
  </si>
  <si>
    <t>07/06/2012
06/11/15</t>
  </si>
  <si>
    <t>conv° réserv° 17/09/15
G 09/11/15</t>
  </si>
  <si>
    <t>19/06/2014
18/11/15</t>
  </si>
  <si>
    <t>PRLC 0165</t>
  </si>
  <si>
    <t>RFCT</t>
  </si>
  <si>
    <t>LOGIS 8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</si>
  <si>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</si>
  <si>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</si>
  <si>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</si>
  <si>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</si>
  <si>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</si>
  <si>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</si>
  <si>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</si>
  <si>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</si>
  <si>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</si>
  <si>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</si>
  <si>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</si>
  <si>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</si>
  <si>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</si>
  <si>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Mises en chantier</t>
  </si>
  <si>
    <t>Livraisons</t>
  </si>
  <si>
    <t>Mail 16/12/15</t>
  </si>
  <si>
    <t xml:space="preserve">Les Platanes </t>
  </si>
  <si>
    <t xml:space="preserve">env DEAL 2015 </t>
  </si>
  <si>
    <t>P1</t>
  </si>
  <si>
    <t>P2</t>
  </si>
  <si>
    <t xml:space="preserve">env DEAL 2014 </t>
  </si>
  <si>
    <t>AS 603</t>
  </si>
  <si>
    <t>BO 206-352</t>
  </si>
  <si>
    <t>AO 433</t>
  </si>
  <si>
    <t>AH 449 à 451</t>
  </si>
  <si>
    <t xml:space="preserve">Hortensias </t>
  </si>
  <si>
    <t>Amata (HE 168)</t>
  </si>
  <si>
    <t>TAILLE</t>
  </si>
  <si>
    <t>0-19</t>
  </si>
  <si>
    <t>20-39</t>
  </si>
  <si>
    <t>40-59</t>
  </si>
  <si>
    <t>&gt;60</t>
  </si>
  <si>
    <t>CD 61 Rue Bertaut LLTS</t>
  </si>
  <si>
    <t>AF FONDATIONS</t>
  </si>
  <si>
    <t>16/12/15 Région
20/01/16 CG
25/01/16 Mairie
10/02/16 CASUD</t>
  </si>
  <si>
    <t>TCO 08/01/2016</t>
  </si>
  <si>
    <t>DQ 2016</t>
  </si>
  <si>
    <t>Livraison</t>
  </si>
  <si>
    <t>ILOT 5.1</t>
  </si>
  <si>
    <t>ILOT 6.1</t>
  </si>
  <si>
    <t>ILOT 5.6</t>
  </si>
  <si>
    <t>PSP</t>
  </si>
  <si>
    <t>L3</t>
  </si>
  <si>
    <t>ILOT 6.2</t>
  </si>
  <si>
    <t>Manapany</t>
  </si>
  <si>
    <t>Amata</t>
  </si>
  <si>
    <t>CD 61</t>
  </si>
  <si>
    <t>Poker As 2</t>
  </si>
  <si>
    <t>Boutons d'Or</t>
  </si>
  <si>
    <t>Fanfan</t>
  </si>
  <si>
    <t>RDE</t>
  </si>
  <si>
    <t>Le Cap</t>
  </si>
  <si>
    <t>Transmission VEFA à DAF</t>
  </si>
  <si>
    <t>doc jur 30/11/15</t>
  </si>
  <si>
    <t>RDV RO DDAD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</si>
  <si>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</si>
  <si>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</si>
  <si>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</si>
  <si>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</si>
  <si>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</si>
  <si>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</si>
  <si>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</si>
  <si>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</si>
  <si>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</si>
  <si>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</si>
  <si>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</si>
  <si>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>CF 549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</si>
  <si>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</si>
  <si>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</si>
  <si>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MICHEL plus OK</t>
  </si>
  <si>
    <t>APU</t>
  </si>
  <si>
    <t>acte signé</t>
  </si>
  <si>
    <t>convention paroi clouée OK / notaire doit rédiger une constitution de servitude</t>
  </si>
  <si>
    <t>30/06/2014
08/04/16</t>
  </si>
  <si>
    <t>FVA</t>
  </si>
  <si>
    <t>ADE</t>
  </si>
  <si>
    <t>Jean MOREL (Amaryllis)</t>
  </si>
  <si>
    <t>Max GOBETTI (AUBEPINES)</t>
  </si>
  <si>
    <t>Lié ETHEVE (Poker As 2)</t>
  </si>
  <si>
    <t>clôture défisc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</si>
  <si>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</si>
  <si>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</si>
  <si>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</si>
  <si>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</si>
  <si>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</si>
  <si>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</si>
  <si>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</si>
  <si>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</si>
  <si>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</si>
  <si>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</si>
  <si>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NH APS</t>
  </si>
  <si>
    <t>NH PC</t>
  </si>
  <si>
    <t>NH APD</t>
  </si>
  <si>
    <t>NH PRO</t>
  </si>
  <si>
    <t>Résiliations marchés</t>
  </si>
  <si>
    <t>CD 61 Rue Bertaut LLS</t>
  </si>
  <si>
    <t>Plaine St Paul</t>
  </si>
  <si>
    <t>Délai inauguration</t>
  </si>
  <si>
    <t>Harry PAYET (Les Mimosas)</t>
  </si>
  <si>
    <t>AD 133</t>
  </si>
  <si>
    <t xml:space="preserve">Dakota </t>
  </si>
  <si>
    <t>EK 250</t>
  </si>
  <si>
    <t>Arizona</t>
  </si>
  <si>
    <t>CX 759 p</t>
  </si>
  <si>
    <t>Californie</t>
  </si>
  <si>
    <t>EK 286</t>
  </si>
  <si>
    <t>Faisa</t>
  </si>
  <si>
    <t>PRLC 0184</t>
  </si>
  <si>
    <t>PRLC 0185</t>
  </si>
  <si>
    <t>PRLC 0187</t>
  </si>
  <si>
    <t>PRLC 0186</t>
  </si>
  <si>
    <t>24/6/16 (mail)</t>
  </si>
  <si>
    <t>RTA</t>
  </si>
  <si>
    <t>CAL</t>
  </si>
  <si>
    <t>LOGIS 10</t>
  </si>
  <si>
    <t>ET 909 / 1256</t>
  </si>
  <si>
    <t>LS 119</t>
  </si>
  <si>
    <t>Date inauguration / livraison</t>
  </si>
  <si>
    <t>30/06/2014
09/09/16</t>
  </si>
  <si>
    <t>14/09/2016
retour 28/09 pour signature</t>
  </si>
  <si>
    <t>06/10/2016
renvoyé le 04/10/16 à CDC</t>
  </si>
  <si>
    <t>à déposer</t>
  </si>
  <si>
    <t>VEFA Loulou Pitou</t>
  </si>
  <si>
    <t>VEFA Paule &amp; Gaston</t>
  </si>
  <si>
    <t>Risques :
- faire lettres de non retenue pour VRD et GO
- EDD</t>
  </si>
  <si>
    <t>CUMUL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</si>
  <si>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</si>
  <si>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</si>
  <si>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</si>
  <si>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</si>
  <si>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</si>
  <si>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</si>
  <si>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</si>
  <si>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</si>
  <si>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</si>
  <si>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</si>
  <si>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</si>
  <si>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</si>
  <si>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</si>
  <si>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</si>
  <si>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</si>
  <si>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</si>
  <si>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</si>
  <si>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</si>
  <si>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</si>
  <si>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</si>
  <si>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</si>
  <si>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</si>
  <si>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</si>
  <si>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</si>
  <si>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</si>
  <si>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</si>
  <si>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</si>
  <si>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</si>
  <si>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</si>
  <si>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</si>
  <si>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</si>
  <si>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</si>
  <si>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</si>
  <si>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</si>
  <si>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</si>
  <si>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</si>
  <si>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</si>
  <si>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</si>
  <si>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</si>
  <si>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</si>
  <si>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</si>
  <si>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t>EN 823</t>
  </si>
  <si>
    <t>AP 1535</t>
  </si>
  <si>
    <t>01/09/2016 + 14/09</t>
  </si>
  <si>
    <t>VAF</t>
  </si>
  <si>
    <t>RAS</t>
  </si>
  <si>
    <t>envoi élements à Lydie 18/11/16</t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</si>
  <si>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</si>
  <si>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</si>
  <si>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</si>
  <si>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</si>
  <si>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</si>
  <si>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</si>
  <si>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</si>
  <si>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</si>
  <si>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</si>
  <si>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</si>
  <si>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</si>
  <si>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</si>
  <si>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</si>
  <si>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</si>
  <si>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</si>
  <si>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</si>
  <si>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</si>
  <si>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</si>
  <si>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</si>
  <si>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</si>
  <si>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</si>
  <si>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</si>
  <si>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</si>
  <si>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</si>
  <si>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</si>
  <si>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</si>
  <si>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</si>
  <si>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</si>
  <si>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</si>
  <si>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coordonnées des propriétaires limitrophes transmis à APU
courriers faits par BJE aux riverains pour une rencontre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</si>
  <si>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</si>
  <si>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</si>
  <si>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</si>
  <si>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</si>
  <si>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</si>
  <si>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Début préfinancement</t>
  </si>
  <si>
    <t>Fin préfinancement</t>
  </si>
  <si>
    <t>1e échéance prêt</t>
  </si>
  <si>
    <t>PROBLEME</t>
  </si>
  <si>
    <t>NH VEFA</t>
  </si>
  <si>
    <t>NH OS</t>
  </si>
  <si>
    <t>avec OS</t>
  </si>
  <si>
    <t>OET</t>
  </si>
  <si>
    <t>Baux</t>
  </si>
  <si>
    <t>NH Fondations</t>
  </si>
  <si>
    <t>NH R+1</t>
  </si>
  <si>
    <t>IONIQUE 5</t>
  </si>
  <si>
    <t>PRLC 0163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</si>
  <si>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</si>
  <si>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24/02/2016
06/09/2016</t>
  </si>
  <si>
    <t>12/01/2017 mail
30/01/2017 papier</t>
  </si>
  <si>
    <t>env DEAL 2017</t>
  </si>
  <si>
    <t>LLS / LLTS</t>
  </si>
  <si>
    <t>30/08/2016
01/02/17</t>
  </si>
  <si>
    <t>20/02/2014
02/07/14
26/08/15
01/02/17</t>
  </si>
  <si>
    <t>PHBB</t>
  </si>
  <si>
    <t>INDIGO Tranche 1</t>
  </si>
  <si>
    <t>Transmission dossier H2 à GL</t>
  </si>
  <si>
    <t>pas de réseau EU</t>
  </si>
  <si>
    <t>courrier envoyé à la Mairie sur prix du foncier : pas de réponse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</si>
  <si>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</si>
  <si>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</si>
  <si>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</si>
  <si>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</si>
  <si>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</si>
  <si>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Envoi papier : 23/12/16 (pièces complémentaires envoyées entre le 30/01 et le 09/02)</t>
  </si>
  <si>
    <t>non conformités à lever</t>
  </si>
  <si>
    <t>14/09/2016
21/02/16</t>
  </si>
  <si>
    <t>23/12/2016
21/02/17</t>
  </si>
  <si>
    <t>14/12/2016
21/02/17</t>
  </si>
  <si>
    <t>TAILLE DES OPERATIONS LLS / LLTS (Hors Rehab &amp; PLS)</t>
  </si>
  <si>
    <t>Logements</t>
  </si>
  <si>
    <t>dossier envoyé 22/02/17</t>
  </si>
  <si>
    <t>sans P2</t>
  </si>
  <si>
    <t>ENV 2017</t>
  </si>
  <si>
    <t>37/38 000 000 €</t>
  </si>
  <si>
    <t>COUT DU FONCIER PAR ANNEE DE PROGRAMMATION &amp; PAR LOGEMENT</t>
  </si>
  <si>
    <t>€ / lgt</t>
  </si>
  <si>
    <t>EVOLUTION DE LA PROGRAMMATION PAR BASSIN</t>
  </si>
  <si>
    <t>Moyenne</t>
  </si>
  <si>
    <t>13/12/2016
23/02/17</t>
  </si>
  <si>
    <t>13/12/2016
24/02/17</t>
  </si>
  <si>
    <t xml:space="preserve">Avancement </t>
  </si>
  <si>
    <t xml:space="preserve">OK </t>
  </si>
  <si>
    <t>sauf Peinture</t>
  </si>
  <si>
    <t>demande 05/12/16</t>
  </si>
  <si>
    <t>12/12/2016
28/02/17</t>
  </si>
  <si>
    <t>à notifier semaine du 20/02/17
MD faites à 5 entreprises</t>
  </si>
  <si>
    <t>Année Inauguration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</si>
  <si>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</si>
  <si>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ANNEE DE LIVRAISON</t>
  </si>
  <si>
    <t>IMPREVUS AU DEMARRAGE</t>
  </si>
  <si>
    <t>22/12/2016
22/03/17</t>
  </si>
  <si>
    <t>NH HDE</t>
  </si>
  <si>
    <t>-</t>
  </si>
  <si>
    <t>MAIL 03/04/17</t>
  </si>
  <si>
    <t>MAIL 04/04/2017</t>
  </si>
  <si>
    <t>LIMITE AF FONDATIONS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</si>
  <si>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</si>
  <si>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</si>
  <si>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</si>
  <si>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</si>
  <si>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</si>
  <si>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</si>
  <si>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</si>
  <si>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</si>
  <si>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</si>
  <si>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REPARTITION DES PREVISIONS DE LIVRAISONS PAR COMMUNE</t>
  </si>
  <si>
    <t>30/08/2016
01/02/17
06/04/17</t>
  </si>
  <si>
    <t>Opale (ILOT 9)</t>
  </si>
  <si>
    <t>S terrain</t>
  </si>
  <si>
    <t>PRLC 0197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</si>
  <si>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</si>
  <si>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t>PRLC 0191</t>
  </si>
  <si>
    <t>Amgt / CO</t>
  </si>
  <si>
    <t>ESQ ==&gt; APD</t>
  </si>
  <si>
    <t>Fin études/AO</t>
  </si>
  <si>
    <t>Clôture défisc</t>
  </si>
  <si>
    <t>Patrimoine</t>
  </si>
  <si>
    <t>REPARTITION TRAVAUX NEUFS &amp; REHABILITATION</t>
  </si>
  <si>
    <t>H2</t>
  </si>
  <si>
    <t>05/10/2016
28/02/17</t>
  </si>
  <si>
    <t>NH HDA</t>
  </si>
  <si>
    <t>notifiés en mai</t>
  </si>
  <si>
    <t>manque 2 DOE</t>
  </si>
  <si>
    <t>Bras de la Plaine</t>
  </si>
  <si>
    <t xml:space="preserve">                                                                                           </t>
  </si>
  <si>
    <t>envoyé 02/06/17</t>
  </si>
  <si>
    <t>1e partie envoyée à OFOI le 08/02/17
dernière partie envoyée à OFOI le 14/06/2017</t>
  </si>
  <si>
    <t>déposé DRFIP 16/06/17</t>
  </si>
  <si>
    <t>CG 12/01/17
Commune 18/01/17
CIVIS 18/01/17
Région 19/06/17</t>
  </si>
  <si>
    <t>ok
Région 19/06/17</t>
  </si>
  <si>
    <t>CG 12/01/17
Commune 18/01/17
CIVIS 18/01/17
Région 22/06/17</t>
  </si>
  <si>
    <t>Commune 21/12/16
CG 12/01/17
Région 19/06/17
CASUD 29/06/17</t>
  </si>
  <si>
    <t>Commune 05/05/17
Région 13/12/16
CASUD 29/06/17
CG 12/01/17</t>
  </si>
  <si>
    <t>CG 29/03/17
Région 28/06/17
CASUD 29/06/2017</t>
  </si>
  <si>
    <t>Commune 16/11/16
Région 13/12/16
CASUD 29/06/2017
CDC 21/06/17</t>
  </si>
  <si>
    <t>Galien</t>
  </si>
  <si>
    <t>AT 72</t>
  </si>
  <si>
    <t>NH CLOISONS</t>
  </si>
  <si>
    <t>AT 257 RPA</t>
  </si>
  <si>
    <t>Pivet</t>
  </si>
  <si>
    <t>SAFER</t>
  </si>
  <si>
    <t>TURPIN</t>
  </si>
  <si>
    <t>79 000
30 831 FRAFU</t>
  </si>
  <si>
    <t>PRLC 0192</t>
  </si>
  <si>
    <t>Foyer de Charité</t>
  </si>
  <si>
    <t>PRLC 0198</t>
  </si>
  <si>
    <t>PRLC 0199</t>
  </si>
  <si>
    <t>PRLC 0200</t>
  </si>
  <si>
    <t>PRLC 0201</t>
  </si>
  <si>
    <t>PRLC 0196</t>
  </si>
  <si>
    <t xml:space="preserve"> Bornage en cours
Mettre en place portage EPFR</t>
  </si>
  <si>
    <t>voie intérieure à rétrocéder
récupérer DOE
faire le DA : FVA s'en occupe</t>
  </si>
  <si>
    <t>PAR ANNEE DE PROGRAMMATION</t>
  </si>
  <si>
    <t>RETARDS DE LIVRAISON (mois)</t>
  </si>
  <si>
    <t>PAR ANNEE DE LIVRAISON</t>
  </si>
  <si>
    <t>PAR ANNEE D'OS</t>
  </si>
  <si>
    <t>FONDS PROPRES</t>
  </si>
  <si>
    <t>PERTE DE LOYERS</t>
  </si>
  <si>
    <t>AT 222/223/224</t>
  </si>
  <si>
    <t>% VEFA par année de programmation</t>
  </si>
  <si>
    <t>Délai d'obtention des garanties</t>
  </si>
  <si>
    <t>Délai entre l'OS et la date obtention LBU par année de programmation</t>
  </si>
  <si>
    <t>% de logements mis en chantier par année en fonction de l'année de programmation</t>
  </si>
  <si>
    <t>Rapport de fin d'opération</t>
  </si>
  <si>
    <t>19/07/2017
05/09/17</t>
  </si>
  <si>
    <t>taille moyenne des opérations en VEFA (moyenne nationale 2016 = 23 lgts) à comparer avec la taille moyenne d'une opération en propre</t>
  </si>
  <si>
    <t>taille moyenne des logements en VEFA (moyenne nat 2016 = 64 m²) ç=à comparer avec la taille moyenne des logements en propre</t>
  </si>
  <si>
    <t>comparaison sur la structure de financement des opérations VEFA / propre</t>
  </si>
  <si>
    <t>évolution du prix de revient selon la structure du PRP (foncier, travaux, autres charges)</t>
  </si>
  <si>
    <t>NATIONAL</t>
  </si>
  <si>
    <t>PRIX DE REVIENT / LOGEMENT</t>
  </si>
  <si>
    <t>PRIX DE REVIENT /m²</t>
  </si>
  <si>
    <t>terrain acheté
projet de bornage transmis à FBR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</si>
  <si>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</si>
  <si>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</si>
  <si>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Amata (HE 168) LLTS</t>
  </si>
  <si>
    <t>Depuis 2014, la hausse moyenne au niveau national est de 0,60 % / an alors que :
- ICC a évolué de 1,2 %
- BT01 a stagné (voir évolution BTR)
- inflation a peu évolué + 0,4 %</t>
  </si>
  <si>
    <t>EVOLUTION DU PRIX DE REVIENT  PAR ANNEE DE LIVRAISON</t>
  </si>
  <si>
    <t>AU LOGEMENT</t>
  </si>
  <si>
    <t>AU M² DE SF</t>
  </si>
  <si>
    <t>SF MOYENNE DES LOGEMENTS</t>
  </si>
  <si>
    <t>STRUCTURE DU COUT D'UNE OPERATION</t>
  </si>
  <si>
    <t>dossier chez OFOI 08/03/2017</t>
  </si>
  <si>
    <t>dossier transmis à OFOI 05/09/16</t>
  </si>
  <si>
    <t>Dépôt DDA définitif</t>
  </si>
  <si>
    <t>CH 162</t>
  </si>
  <si>
    <t>SITA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</si>
  <si>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</si>
  <si>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</si>
  <si>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</si>
  <si>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</si>
  <si>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</si>
  <si>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</si>
  <si>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</si>
  <si>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Mairie 09/10/17
CG 17/10/17</t>
  </si>
  <si>
    <t>OCTAVIE LLTS</t>
  </si>
  <si>
    <t>OCTAVIE LLS</t>
  </si>
  <si>
    <t>ES 15/10/17
CG 19/10/17</t>
  </si>
  <si>
    <t>DESIRE 3</t>
  </si>
  <si>
    <t>AK 661 - 770</t>
  </si>
  <si>
    <t>Mairie / privé</t>
  </si>
  <si>
    <t>GGO</t>
  </si>
  <si>
    <t>VEFA</t>
  </si>
  <si>
    <t>EM 628 p</t>
  </si>
  <si>
    <t>topo complémentaire en cours sur riverains
bornage à fournir par le propriétaire
CPV en cours</t>
  </si>
  <si>
    <t>AH 893 / AH 975</t>
  </si>
  <si>
    <t>regrouper pièces pour lancer consultation MOE - topo en cours
étudier scénario raccordement EU / ANC
CPV en cours de rédaction
manque évaluation domaines TCO</t>
  </si>
  <si>
    <t>compromis signé / pb d'accès / faire signer avenant de prorogation de compromis (Commune OK) - portage jusqu'à mai 2018
pb évacuation EP : riverain demande de l'argent / OET doit voir une entreprise pour faire un devis +  propriété communale du chemin (Mairie attend accord préfecture pour classer voirie)</t>
  </si>
  <si>
    <t>Lotissement FOURRAGERES</t>
  </si>
  <si>
    <t>BY 759-760</t>
  </si>
  <si>
    <t>GORBATCHEV</t>
  </si>
  <si>
    <t>BY 284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</si>
  <si>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Trefles</t>
    </r>
  </si>
  <si>
    <t>BV 024,213 AO 716,726</t>
  </si>
  <si>
    <t>Lot Men Ext
soit 1 sur 16 lots
4 RO</t>
  </si>
  <si>
    <t>ajouter colonne Date réception initiale</t>
  </si>
  <si>
    <t>Mairie 04/12/17
CG 17/10/17</t>
  </si>
  <si>
    <t>topo complémentaire en cours sur riverains
bornage à fournir par le propriétaire
CPV signé - prend fin au 31/12/18</t>
  </si>
  <si>
    <t>courrier à faire à la Mairie pour un portage / CPV signer</t>
  </si>
  <si>
    <t>Avenant EPFR signé
Convention avec riverain signée</t>
  </si>
  <si>
    <t>avenant 1 EPFR  signé - acquisition à mai 2018</t>
  </si>
  <si>
    <t>manque terrain communal à acheter en mai 2018 : veiller à ce que les abonnements soient résiliés</t>
  </si>
  <si>
    <t xml:space="preserve">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
EPFR a acheté le terrain 07/11/17
</t>
  </si>
  <si>
    <t>bornage signé mais remis en cause / servitude de tréfonds SAPHIR
prorogation EPFR jusqu'au 11/09/2019 : avenant à recevoir</t>
  </si>
  <si>
    <t>compromis vente signé prend fin fin mars 2017 / à proroger à mi 2018 - manque signature Commune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</si>
  <si>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</si>
  <si>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</si>
  <si>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</si>
  <si>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</si>
  <si>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</si>
  <si>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</si>
  <si>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AK 661 : offre faite au propriétaire / pas de réponse - mettre ultimatum sous 15 j
topo consulté
pas d'accord des vendeurs</t>
  </si>
  <si>
    <t>10/07/2017
11/12/17</t>
  </si>
  <si>
    <t>NH ESQ</t>
  </si>
  <si>
    <t>COCO TURPIN</t>
  </si>
  <si>
    <t>CH 483 / 102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</si>
  <si>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</si>
  <si>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</si>
  <si>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</si>
  <si>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</si>
  <si>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</si>
  <si>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</si>
  <si>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</si>
  <si>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>DIAG</t>
  </si>
  <si>
    <t>PRLC 0204</t>
  </si>
  <si>
    <r>
      <t xml:space="preserve">VEFA </t>
    </r>
    <r>
      <rPr>
        <b/>
        <sz val="11"/>
        <rFont val="Calibri"/>
        <family val="2"/>
        <scheme val="minor"/>
      </rPr>
      <t>JOSETTE</t>
    </r>
  </si>
  <si>
    <t>CPV DAMOUR OK
manque CPV sur CH 102</t>
  </si>
  <si>
    <t>CPV CH 102 à signer
topo à compléter
CH 102 hors QPV
Mairie n'a pas donné son avis sur la programmation</t>
  </si>
  <si>
    <t>EM 628 p
CPV avec TURPIN en cours + clause substit EPFR
bornage à compléter - manque procurations / DA en cours de finalisation pour EM 629
EPFR délibère en mars/avril
minoration foncière CIVIS</t>
  </si>
  <si>
    <t xml:space="preserve">AX 24p / 25 / 429p / 28 / 27p
actualisation topo en cours
zone RHI
</t>
  </si>
  <si>
    <t>envoi Lydie 29/01/18</t>
  </si>
  <si>
    <t>sem 12/02 : T5</t>
  </si>
  <si>
    <t>CREDIT IMPOT</t>
  </si>
  <si>
    <t xml:space="preserve">Taux conformité DCE au CRATE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</si>
  <si>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</si>
  <si>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</si>
  <si>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</si>
  <si>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</si>
  <si>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</si>
  <si>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</si>
  <si>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</si>
  <si>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</si>
  <si>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NH CAO</t>
  </si>
  <si>
    <t>NH DAT</t>
  </si>
  <si>
    <t>NH RDC</t>
  </si>
  <si>
    <t>Bilan final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</si>
  <si>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</si>
  <si>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</si>
  <si>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</si>
  <si>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</si>
  <si>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</si>
  <si>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</si>
  <si>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</si>
  <si>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</si>
  <si>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</si>
  <si>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</si>
  <si>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>Date OS  - Réalisé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</si>
  <si>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</si>
  <si>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</si>
  <si>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</si>
  <si>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</si>
  <si>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</si>
  <si>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</si>
  <si>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</si>
  <si>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</si>
  <si>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</si>
  <si>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</si>
  <si>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</si>
  <si>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</si>
  <si>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</si>
  <si>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</si>
  <si>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</si>
  <si>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</si>
  <si>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</si>
  <si>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</si>
  <si>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Réception des travaux (GANTT)-Prévu</t>
  </si>
  <si>
    <t>Réception des travaux (GANTT)-Recalée</t>
  </si>
  <si>
    <t>Délai travaux (m)</t>
  </si>
  <si>
    <t>Inauguration (GANTT)-Prévu</t>
  </si>
  <si>
    <t>Inauguration (GANTT)-Recalée</t>
  </si>
  <si>
    <t>Fonds propres au démarrage</t>
  </si>
  <si>
    <t>Fonds propres actualisés</t>
  </si>
  <si>
    <t>Ecart études (m)</t>
  </si>
  <si>
    <t>RO successifs</t>
  </si>
  <si>
    <t>Problémes chantier</t>
  </si>
  <si>
    <t>Observations générales</t>
  </si>
  <si>
    <t>FMA / FHO</t>
  </si>
  <si>
    <r>
      <t xml:space="preserve">RAS mais entreprises pas payées (GMF a 3 situations oct/nov/déc en attente)
</t>
    </r>
    <r>
      <rPr>
        <sz val="8"/>
        <color rgb="FFFF0000"/>
        <rFont val="Verdana"/>
        <family val="2"/>
      </rPr>
      <t>HOAREAU JP a posé tôle en sens inverse du vent</t>
    </r>
  </si>
  <si>
    <t>problématique foncière non anticipée et propre à la vente en VEFA défisc
changements de RO</t>
  </si>
  <si>
    <r>
      <t xml:space="preserve">1 mois de retard sur VRD (rattrapable) / possibilité de récupérer les clés des 5 lgts (partie basse) avant le reste (à fin avril)
</t>
    </r>
    <r>
      <rPr>
        <sz val="8"/>
        <color rgb="FFFF0000"/>
        <rFont val="Verdana"/>
        <family val="2"/>
      </rPr>
      <t>pb effectif Gros Œuvre
SIDELEC doit poser un PT pour la partie haute : à la recherche d'un foncier (s'est rapproché de la Mairie)</t>
    </r>
  </si>
  <si>
    <t>FMA / YFR</t>
  </si>
  <si>
    <t>équipement local refoulement par CASUD à partir du 05/02 (1 mois travaux)
possible de faire état des lieux avant la remise des clés le 18/03/18</t>
  </si>
  <si>
    <t>décalage de programmation</t>
  </si>
  <si>
    <t>SFE / AGA / FVA</t>
  </si>
  <si>
    <t>bâche à poser pour sécurité incendie, avant inauguration</t>
  </si>
  <si>
    <t xml:space="preserve">problématique juridique INTERINVEST qui a mis beaucoup de temps à se solutionner
retard SBIM / AMEDEE
convention MOD EDF très tardive
</t>
  </si>
  <si>
    <t>JMO / NBL / FBR</t>
  </si>
  <si>
    <t>JMO / FBR</t>
  </si>
  <si>
    <t>JMO / AGA / FVA</t>
  </si>
  <si>
    <t>SFE / APU</t>
  </si>
  <si>
    <t>lgt témoin 08/02/18
réunion Mairie 22/02 sur rétrocession
pb avancement lot placo LCR
fondations à terminer fin 02/18</t>
  </si>
  <si>
    <t>SUN RUN à résilier - retard à évaluer
en attente chiffrage CLIMEO
13/02 : constat huissier
voir Direction pour déroger aux procédures</t>
  </si>
  <si>
    <t>SMOI : 1 mois retard (à confirmer fin 02/18)
mur voisin : 1,5 mois retard</t>
  </si>
  <si>
    <t>aléa mouvement de terrain grevant la parcelle après maîtrise foncière, à lever auprès du BRGM 
sécurisation du site proximité école
doute sur EPGM</t>
  </si>
  <si>
    <t>passage en crédit d'impôt</t>
  </si>
  <si>
    <t>info/ difficultés de terrassement dû à la nature du sol rencontré (courrier LASETRA) /retard galvanisation charpente+ 45 jours</t>
  </si>
  <si>
    <t>INFO / arrêt de chantier du 20/02/17 au 17/04/2017 suite pb d'avoisinant (bornage et mur)/retard galvanisation charpente</t>
  </si>
  <si>
    <t xml:space="preserve">attente des garanties= retard OS
janvier 2018 : DAF ne paie pas entreprises qui n'ont plus de fournitures (ex : 3 situations LASETRA pas payées au 26/01/18)
</t>
  </si>
  <si>
    <t>JDC / NBL / MFL / ADE</t>
  </si>
  <si>
    <t>avancement SMOI
logement témoin semaine du 19/02</t>
  </si>
  <si>
    <t>purge délai recours en cours</t>
  </si>
  <si>
    <t>MFL / ADE</t>
  </si>
  <si>
    <t>réception des communs en fév 2018</t>
  </si>
  <si>
    <t xml:space="preserve">Fourragères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</si>
  <si>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Hopital</t>
    </r>
  </si>
  <si>
    <t>offres à analyser mais entreprises n'ont pas fait de visite</t>
  </si>
  <si>
    <t>AO à lancer sem 22/01 / voir pour modifier pièces concernant visite obligatoire</t>
  </si>
  <si>
    <t>PRO à recevoir en 02/18 - PC modif à déposer</t>
  </si>
  <si>
    <t>13/2/18 : fondations</t>
  </si>
  <si>
    <t>DIAG reçu / valider pgr travaux / revue de projet 20/02</t>
  </si>
  <si>
    <t>APS à analyser / PC à déposer 10/02/18 au plus tard</t>
  </si>
  <si>
    <t>PC à déposer 10/02/18 au plus tard</t>
  </si>
  <si>
    <t>analyse MOE à faire par FBR / faire mail à ASI</t>
  </si>
  <si>
    <t>PC à déposer 10/02/18 au plus tard / attente données hydrétudes</t>
  </si>
  <si>
    <t>PC déposé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</si>
  <si>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</si>
  <si>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</si>
  <si>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>Lot Charpente Couverture : Trait Carré par HJP
Lot Gros-œuvre : Robert Construction par CH2D
Lot Men Ext :APOI par Espace Alu
Lot électricité : Electric Services par
Lot Gros-Œuvre : CH2D par DRMS
Lot OPC
Lot plomberie : Fluides OI par
Soit 6 lots sur 14 = 42%
3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</si>
  <si>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</si>
  <si>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</si>
  <si>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</si>
  <si>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</si>
  <si>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</si>
  <si>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</si>
  <si>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</si>
  <si>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</si>
  <si>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</si>
  <si>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</si>
  <si>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</si>
  <si>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</si>
  <si>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</si>
  <si>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</si>
  <si>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</si>
  <si>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</si>
  <si>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</si>
  <si>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GO : CH2D par DNA construction (2 mois de reconsult et négo)
Soit 1 sur 14 lots
3 RO</t>
  </si>
  <si>
    <t>Transmission à DAF
Garantie CR</t>
  </si>
  <si>
    <t>Transmission à DAF
Garantie EPCI</t>
  </si>
  <si>
    <t>Transmission à DAF
Garantie CM</t>
  </si>
  <si>
    <t>Transmission à DAF
Garantie CG</t>
  </si>
  <si>
    <t>Lot 9 = 1 mois</t>
  </si>
  <si>
    <t>Lot désamiantage</t>
  </si>
  <si>
    <t>AO lancé 13/02 - réception offres 13/03</t>
  </si>
  <si>
    <t>négo en cours</t>
  </si>
  <si>
    <t>réunion démarrage 01/03/18</t>
  </si>
  <si>
    <t>lancement AO sem 26/02 - voir avec TGI pour enlever toiture du DCE</t>
  </si>
  <si>
    <t>O'SUD Peinture pas à jour attestation fiscale</t>
  </si>
  <si>
    <t>résilier SIB (perte agrément) / se positionner sur demande de DLC
pas de nouvelles de l'AMO déchets : faire une MD huissier
courrier refus offre technique DLC à envoyer
O'SUD Peinture pas à jour attestation fiscale</t>
  </si>
  <si>
    <t>contrat de prêt à recevoir en février 2018 / délib garantie CM 24/02 / VEFA à signer fin fév 18 au + tard</t>
  </si>
  <si>
    <t>lancer AO</t>
  </si>
  <si>
    <t>retard études : gestion mitoyens / signature convention
retard rendu DCE (changement chargé d'affaire INTEGRALE)</t>
  </si>
  <si>
    <t>retard lancement AO : pb ramassage ordures ménagères
faire la demande de prêt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</si>
  <si>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</si>
  <si>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</si>
  <si>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caler réunion validation PRO semaine 26/02</t>
  </si>
  <si>
    <t>IMPREVUS ACTUALISES</t>
  </si>
  <si>
    <t>Délai chantier initial Livraison (+ 1 mois)</t>
  </si>
  <si>
    <t>Retard réception (mois)</t>
  </si>
  <si>
    <t>Retard loyers (mois)</t>
  </si>
  <si>
    <t>Retard livraison VEFA (mois)</t>
  </si>
  <si>
    <t>Date réception prévue initialement</t>
  </si>
  <si>
    <t>DECOMPTE SUIVANT DELAI OS</t>
  </si>
  <si>
    <t>DECOMPTE SUIVANT DELAI VEFA</t>
  </si>
  <si>
    <t xml:space="preserve">      PROGRAMMATION
          OS</t>
  </si>
  <si>
    <t xml:space="preserve">      PROGRAMMATION
  LIVRAISON</t>
  </si>
  <si>
    <t>MISES EN CHANTIER / LIVRAISONS</t>
  </si>
  <si>
    <t>€/m² terrain</t>
  </si>
  <si>
    <t>PRP CA</t>
  </si>
  <si>
    <t>Ecart Inauguration (m)</t>
  </si>
  <si>
    <t>lancer désamiantage / étude hydraulique à réaliser pour confirmation hyp SEGC
perte de temps sur la phase DCE pour consolider étude hydraulique</t>
  </si>
  <si>
    <t>attention à SBIM
28/02/18 : courrier de demande de résiliation marché à EPMR qui conteste quantité carrelage chiffré</t>
  </si>
  <si>
    <t>Date Agrément DRFIP</t>
  </si>
  <si>
    <t>Agrément définitif</t>
  </si>
  <si>
    <t>RPA MERCURY (Terrain DAMOUR)</t>
  </si>
  <si>
    <t>OK</t>
  </si>
  <si>
    <t>11/12/2017
01/03/18</t>
  </si>
  <si>
    <t>Date RDC Patrimoine</t>
  </si>
  <si>
    <t>envoi AF 07/03/18</t>
  </si>
  <si>
    <t>envoi 21/02/18</t>
  </si>
  <si>
    <t>dde 19/7/17 - 16/03/18</t>
  </si>
  <si>
    <t>dde 13/12/17 - 16/03/18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</si>
  <si>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</si>
  <si>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ECART Arrêté LBU / DAT
(années)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</si>
  <si>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</si>
  <si>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</si>
  <si>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</si>
  <si>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Mairie relancée</t>
  </si>
  <si>
    <t>DATE LIMITE DAT DEFISC</t>
  </si>
  <si>
    <t>PRÊT CREDIT D'IMPOT (PM)</t>
  </si>
  <si>
    <t>EVOLUTION DE LA LBU (locatif neuf)</t>
  </si>
  <si>
    <t xml:space="preserve">envoyé </t>
  </si>
  <si>
    <t>envoyé</t>
  </si>
  <si>
    <t>BY 759 SITA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</si>
</sst>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  <numFmt numFmtId="181" formatCode="&quot;NH HDE&quot;\ 0%"/>
    <numFmt numFmtId="192" formatCode="&quot;NH HDA&quot;\ 0%"/>
    <numFmt numFmtId="193" formatCode="#,##0.00\ _€"/>
    <numFmt numFmtId="194" formatCode="&quot;NH Cloisons&quot;\ 0%"/>
    <numFmt numFmtId="195" formatCode="&quot;NH ESQ&quot;\ 0%"/>
    <numFmt numFmtId="196" formatCode="&quot;NH CAO&quot;\ 0%"/>
    <numFmt numFmtId="197" formatCode="&quot;NH DAT&quot;\ 0%"/>
    <numFmt numFmtId="198" formatCode="&quot;NH RDC&quot;\ 0%"/>
    <numFmt numFmtId="199" formatCode="&quot;NH bilan&quot;\ 0%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2"/>
      <color theme="1"/>
      <name val="ScalaSansPro-Light"/>
      <family val="3"/>
    </font>
    <font>
      <sz val="10"/>
      <color rgb="FF000000"/>
      <name val="Arial2"/>
    </font>
    <font>
      <sz val="10"/>
      <color rgb="FF000000"/>
      <name val="Arial1"/>
    </font>
    <font>
      <b/>
      <sz val="11"/>
      <color rgb="FF00B0F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8"/>
      <color rgb="FFFF0000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indexed="9"/>
      <name val="Verdana"/>
      <family val="2"/>
    </font>
    <font>
      <sz val="12"/>
      <color indexed="9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gray125">
        <bgColor theme="5" tint="0.399975585192419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125">
        <bgColor theme="1" tint="0.34998626667073579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8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7" fillId="0" borderId="0"/>
    <xf numFmtId="9" fontId="28" fillId="0" borderId="0" applyFont="0" applyFill="0" applyBorder="0" applyAlignment="0" applyProtection="0"/>
    <xf numFmtId="0" fontId="30" fillId="0" borderId="0" applyNumberFormat="0" applyBorder="0" applyProtection="0"/>
    <xf numFmtId="0" fontId="31" fillId="0" borderId="0" applyNumberFormat="0" applyBorder="0" applyProtection="0"/>
    <xf numFmtId="0" fontId="31" fillId="0" borderId="0" applyNumberFormat="0" applyBorder="0" applyProtection="0"/>
  </cellStyleXfs>
  <cellXfs count="949">
    <xf numFmtId="0" fontId="0" fillId="0" borderId="0" xfId="0"/>
    <xf numFmtId="0" fontId="0" fillId="0" borderId="0" xfId="0" applyAlignment="1">
      <alignment horizontal="center"/>
    </xf>
    <xf numFmtId="0" fontId="5" fillId="4" borderId="1" xfId="5" applyFont="1" applyBorder="1" applyAlignment="1">
      <alignment horizontal="center" vertical="center" wrapText="1"/>
    </xf>
    <xf numFmtId="0" fontId="8" fillId="8" borderId="0" xfId="5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165" fontId="0" fillId="19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2" borderId="1" xfId="5" applyFont="1" applyFill="1" applyBorder="1" applyAlignment="1">
      <alignment horizontal="center" vertical="center"/>
    </xf>
    <xf numFmtId="0" fontId="8" fillId="17" borderId="1" xfId="7" applyFont="1" applyFill="1" applyBorder="1" applyAlignment="1">
      <alignment horizontal="center" vertical="center" wrapText="1"/>
    </xf>
    <xf numFmtId="165" fontId="0" fillId="24" borderId="1" xfId="0" applyNumberFormat="1" applyFont="1" applyFill="1" applyBorder="1" applyAlignment="1">
      <alignment horizontal="center" vertical="center"/>
    </xf>
    <xf numFmtId="165" fontId="8" fillId="24" borderId="1" xfId="0" applyNumberFormat="1" applyFont="1" applyFill="1" applyBorder="1" applyAlignment="1">
      <alignment horizontal="center" vertical="center"/>
    </xf>
    <xf numFmtId="165" fontId="0" fillId="23" borderId="1" xfId="0" applyNumberFormat="1" applyFont="1" applyFill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43" fontId="8" fillId="25" borderId="1" xfId="1" applyFont="1" applyFill="1" applyBorder="1" applyAlignment="1">
      <alignment horizontal="center" vertical="center" wrapText="1"/>
    </xf>
    <xf numFmtId="164" fontId="8" fillId="17" borderId="1" xfId="6" applyNumberFormat="1" applyFont="1" applyFill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5" fontId="8" fillId="19" borderId="1" xfId="0" applyNumberFormat="1" applyFont="1" applyFill="1" applyBorder="1" applyAlignment="1">
      <alignment horizontal="center" vertical="center"/>
    </xf>
    <xf numFmtId="4" fontId="0" fillId="27" borderId="7" xfId="0" applyNumberFormat="1" applyFont="1" applyFill="1" applyBorder="1" applyAlignment="1">
      <alignment horizontal="center" vertical="center"/>
    </xf>
    <xf numFmtId="4" fontId="8" fillId="27" borderId="7" xfId="0" applyNumberFormat="1" applyFont="1" applyFill="1" applyBorder="1" applyAlignment="1">
      <alignment horizontal="center" vertical="center"/>
    </xf>
    <xf numFmtId="165" fontId="0" fillId="19" borderId="8" xfId="0" applyNumberFormat="1" applyFont="1" applyFill="1" applyBorder="1" applyAlignment="1">
      <alignment horizontal="center" vertical="center"/>
    </xf>
    <xf numFmtId="9" fontId="0" fillId="19" borderId="8" xfId="2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0" fillId="8" borderId="8" xfId="0" applyNumberFormat="1" applyFont="1" applyFill="1" applyBorder="1" applyAlignment="1">
      <alignment horizontal="center" vertical="center"/>
    </xf>
    <xf numFmtId="4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8" xfId="0" applyNumberFormat="1" applyFont="1" applyFill="1" applyBorder="1" applyAlignment="1">
      <alignment horizontal="center" vertical="center"/>
    </xf>
    <xf numFmtId="0" fontId="0" fillId="14" borderId="8" xfId="0" applyFont="1" applyFill="1" applyBorder="1" applyAlignment="1">
      <alignment horizontal="center" vertical="center"/>
    </xf>
    <xf numFmtId="3" fontId="0" fillId="14" borderId="8" xfId="0" applyNumberFormat="1" applyFont="1" applyFill="1" applyBorder="1" applyAlignment="1">
      <alignment horizontal="center" vertical="center"/>
    </xf>
    <xf numFmtId="43" fontId="8" fillId="11" borderId="8" xfId="1" applyFont="1" applyFill="1" applyBorder="1" applyAlignment="1">
      <alignment horizontal="center" vertical="center" wrapText="1"/>
    </xf>
    <xf numFmtId="165" fontId="0" fillId="11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/>
    </xf>
    <xf numFmtId="165" fontId="8" fillId="11" borderId="8" xfId="0" applyNumberFormat="1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 wrapText="1"/>
    </xf>
    <xf numFmtId="3" fontId="5" fillId="28" borderId="0" xfId="0" applyNumberFormat="1" applyFont="1" applyFill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1" fontId="0" fillId="8" borderId="8" xfId="0" applyNumberFormat="1" applyFont="1" applyFill="1" applyBorder="1" applyAlignment="1">
      <alignment horizontal="center" vertical="center"/>
    </xf>
    <xf numFmtId="41" fontId="8" fillId="8" borderId="8" xfId="0" applyNumberFormat="1" applyFont="1" applyFill="1" applyBorder="1" applyAlignment="1">
      <alignment horizontal="center" vertical="center"/>
    </xf>
    <xf numFmtId="9" fontId="0" fillId="8" borderId="8" xfId="2" applyFont="1" applyFill="1" applyBorder="1" applyAlignment="1">
      <alignment horizontal="center" vertical="center"/>
    </xf>
    <xf numFmtId="9" fontId="8" fillId="8" borderId="8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8" fillId="19" borderId="8" xfId="0" applyNumberFormat="1" applyFont="1" applyFill="1" applyBorder="1" applyAlignment="1">
      <alignment horizontal="center" vertical="center"/>
    </xf>
    <xf numFmtId="4" fontId="0" fillId="25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165" fontId="0" fillId="12" borderId="8" xfId="0" applyNumberFormat="1" applyFont="1" applyFill="1" applyBorder="1" applyAlignment="1">
      <alignment horizontal="center" vertical="center"/>
    </xf>
    <xf numFmtId="9" fontId="8" fillId="11" borderId="8" xfId="2" applyFont="1" applyFill="1" applyBorder="1" applyAlignment="1">
      <alignment horizontal="center" vertical="center" wrapText="1"/>
    </xf>
    <xf numFmtId="165" fontId="0" fillId="8" borderId="8" xfId="0" applyNumberFormat="1" applyFont="1" applyFill="1" applyBorder="1" applyAlignment="1">
      <alignment horizontal="center" vertical="center"/>
    </xf>
    <xf numFmtId="4" fontId="8" fillId="27" borderId="8" xfId="0" applyNumberFormat="1" applyFont="1" applyFill="1" applyBorder="1" applyAlignment="1">
      <alignment horizontal="center" vertical="center"/>
    </xf>
    <xf numFmtId="165" fontId="0" fillId="23" borderId="8" xfId="0" applyNumberFormat="1" applyFont="1" applyFill="1" applyBorder="1" applyAlignment="1">
      <alignment horizontal="center" vertical="center"/>
    </xf>
    <xf numFmtId="4" fontId="9" fillId="25" borderId="8" xfId="0" applyNumberFormat="1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5" fontId="0" fillId="24" borderId="8" xfId="0" applyNumberFormat="1" applyFont="1" applyFill="1" applyBorder="1" applyAlignment="1">
      <alignment horizontal="center" vertical="center"/>
    </xf>
    <xf numFmtId="43" fontId="8" fillId="25" borderId="8" xfId="1" applyFont="1" applyFill="1" applyBorder="1" applyAlignment="1">
      <alignment horizontal="center" vertical="center" wrapText="1"/>
    </xf>
    <xf numFmtId="0" fontId="8" fillId="22" borderId="8" xfId="5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/>
    </xf>
    <xf numFmtId="164" fontId="8" fillId="17" borderId="8" xfId="6" applyNumberFormat="1" applyFont="1" applyFill="1" applyBorder="1" applyAlignment="1">
      <alignment horizontal="center" vertical="center"/>
    </xf>
    <xf numFmtId="0" fontId="5" fillId="17" borderId="8" xfId="7" applyFont="1" applyFill="1" applyBorder="1" applyAlignment="1">
      <alignment horizontal="center" vertical="center" wrapText="1"/>
    </xf>
    <xf numFmtId="0" fontId="8" fillId="17" borderId="8" xfId="6" applyFont="1" applyFill="1" applyBorder="1" applyAlignment="1">
      <alignment horizontal="center" vertical="center" wrapText="1"/>
    </xf>
    <xf numFmtId="164" fontId="8" fillId="17" borderId="8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8" fillId="9" borderId="1" xfId="8" applyFont="1" applyFill="1" applyBorder="1" applyAlignment="1">
      <alignment horizontal="center" vertical="center"/>
    </xf>
    <xf numFmtId="164" fontId="8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8" xfId="2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8" fillId="17" borderId="1" xfId="3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/>
    </xf>
    <xf numFmtId="0" fontId="8" fillId="17" borderId="8" xfId="7" applyFont="1" applyFill="1" applyBorder="1" applyAlignment="1">
      <alignment horizontal="center" vertical="center" wrapText="1"/>
    </xf>
    <xf numFmtId="0" fontId="5" fillId="17" borderId="8" xfId="6" applyFont="1" applyFill="1" applyBorder="1" applyAlignment="1">
      <alignment horizontal="center" vertical="center" wrapText="1"/>
    </xf>
    <xf numFmtId="0" fontId="8" fillId="17" borderId="8" xfId="3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/>
    </xf>
    <xf numFmtId="1" fontId="8" fillId="32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/>
    </xf>
    <xf numFmtId="1" fontId="8" fillId="8" borderId="8" xfId="1" applyNumberFormat="1" applyFont="1" applyFill="1" applyBorder="1" applyAlignment="1">
      <alignment horizontal="center" vertical="center"/>
    </xf>
    <xf numFmtId="14" fontId="9" fillId="8" borderId="8" xfId="1" applyNumberFormat="1" applyFont="1" applyFill="1" applyBorder="1" applyAlignment="1">
      <alignment horizontal="center" vertical="center"/>
    </xf>
    <xf numFmtId="1" fontId="9" fillId="8" borderId="8" xfId="1" applyNumberFormat="1" applyFont="1" applyFill="1" applyBorder="1" applyAlignment="1">
      <alignment horizontal="center" vertical="center"/>
    </xf>
    <xf numFmtId="170" fontId="8" fillId="0" borderId="8" xfId="0" applyNumberFormat="1" applyFont="1" applyBorder="1" applyAlignment="1">
      <alignment horizontal="center" vertical="center" wrapText="1"/>
    </xf>
    <xf numFmtId="14" fontId="9" fillId="0" borderId="8" xfId="1" applyNumberFormat="1" applyFont="1" applyFill="1" applyBorder="1" applyAlignment="1">
      <alignment horizontal="center" vertical="center"/>
    </xf>
    <xf numFmtId="1" fontId="0" fillId="32" borderId="8" xfId="0" applyNumberFormat="1" applyFont="1" applyFill="1" applyBorder="1" applyAlignment="1">
      <alignment horizontal="center" vertical="center"/>
    </xf>
    <xf numFmtId="164" fontId="0" fillId="32" borderId="8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8" xfId="2" applyFont="1" applyFill="1" applyBorder="1" applyAlignment="1">
      <alignment horizontal="center" vertical="center"/>
    </xf>
    <xf numFmtId="10" fontId="0" fillId="29" borderId="8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4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5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43" fontId="5" fillId="17" borderId="1" xfId="3" applyNumberFormat="1" applyFont="1" applyFill="1" applyBorder="1" applyAlignment="1">
      <alignment horizontal="center" vertical="center" wrapText="1"/>
    </xf>
    <xf numFmtId="0" fontId="8" fillId="2" borderId="1" xfId="3" applyFont="1" applyBorder="1" applyAlignment="1">
      <alignment horizontal="center" vertical="center" wrapText="1"/>
    </xf>
    <xf numFmtId="43" fontId="8" fillId="2" borderId="1" xfId="3" applyNumberFormat="1" applyFont="1" applyBorder="1" applyAlignment="1">
      <alignment horizontal="center" vertical="center" wrapText="1"/>
    </xf>
    <xf numFmtId="43" fontId="8" fillId="2" borderId="8" xfId="3" applyNumberFormat="1" applyFont="1" applyBorder="1" applyAlignment="1">
      <alignment horizontal="center" vertical="center" wrapText="1"/>
    </xf>
    <xf numFmtId="0" fontId="8" fillId="2" borderId="8" xfId="3" applyFont="1" applyBorder="1" applyAlignment="1">
      <alignment horizontal="center" vertical="center" wrapText="1"/>
    </xf>
    <xf numFmtId="14" fontId="8" fillId="17" borderId="1" xfId="7" applyNumberFormat="1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/>
    </xf>
    <xf numFmtId="164" fontId="8" fillId="9" borderId="1" xfId="6" applyNumberFormat="1" applyFont="1" applyFill="1" applyBorder="1" applyAlignment="1">
      <alignment horizontal="center" vertical="center"/>
    </xf>
    <xf numFmtId="14" fontId="8" fillId="2" borderId="1" xfId="3" applyNumberFormat="1" applyFont="1" applyBorder="1" applyAlignment="1">
      <alignment horizontal="center" vertical="center" wrapText="1"/>
    </xf>
    <xf numFmtId="0" fontId="8" fillId="17" borderId="1" xfId="7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 wrapText="1"/>
    </xf>
    <xf numFmtId="0" fontId="8" fillId="17" borderId="8" xfId="7" applyFont="1" applyFill="1" applyBorder="1" applyAlignment="1">
      <alignment horizontal="center" vertical="center"/>
    </xf>
    <xf numFmtId="164" fontId="8" fillId="9" borderId="8" xfId="6" applyNumberFormat="1" applyFont="1" applyFill="1" applyBorder="1" applyAlignment="1">
      <alignment horizontal="center" vertical="center"/>
    </xf>
    <xf numFmtId="0" fontId="8" fillId="9" borderId="8" xfId="8" applyFont="1" applyFill="1" applyBorder="1" applyAlignment="1">
      <alignment horizontal="center" vertical="center"/>
    </xf>
    <xf numFmtId="164" fontId="8" fillId="9" borderId="8" xfId="8" applyNumberFormat="1" applyFont="1" applyFill="1" applyBorder="1" applyAlignment="1">
      <alignment horizontal="center" vertical="center"/>
    </xf>
    <xf numFmtId="0" fontId="8" fillId="8" borderId="0" xfId="4" applyFont="1" applyFill="1" applyBorder="1" applyAlignment="1">
      <alignment horizontal="center"/>
    </xf>
    <xf numFmtId="164" fontId="8" fillId="8" borderId="0" xfId="5" applyNumberFormat="1" applyFont="1" applyFill="1" applyBorder="1" applyAlignment="1">
      <alignment horizontal="center"/>
    </xf>
    <xf numFmtId="0" fontId="8" fillId="8" borderId="0" xfId="7" applyFont="1" applyFill="1" applyBorder="1" applyAlignment="1">
      <alignment horizontal="center"/>
    </xf>
    <xf numFmtId="164" fontId="8" fillId="8" borderId="0" xfId="7" applyNumberFormat="1" applyFont="1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8" applyNumberFormat="1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 wrapText="1"/>
    </xf>
    <xf numFmtId="41" fontId="0" fillId="14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 wrapText="1"/>
    </xf>
    <xf numFmtId="164" fontId="9" fillId="8" borderId="8" xfId="1" applyNumberFormat="1" applyFont="1" applyFill="1" applyBorder="1" applyAlignment="1">
      <alignment horizontal="center" vertical="center"/>
    </xf>
    <xf numFmtId="164" fontId="0" fillId="8" borderId="8" xfId="2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 wrapText="1"/>
    </xf>
    <xf numFmtId="14" fontId="0" fillId="8" borderId="8" xfId="2" applyNumberFormat="1" applyFont="1" applyFill="1" applyBorder="1" applyAlignment="1">
      <alignment horizontal="center" vertical="center"/>
    </xf>
    <xf numFmtId="14" fontId="8" fillId="8" borderId="8" xfId="0" applyNumberFormat="1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 wrapText="1"/>
    </xf>
    <xf numFmtId="1" fontId="0" fillId="8" borderId="8" xfId="0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 wrapText="1"/>
    </xf>
    <xf numFmtId="0" fontId="5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/>
    </xf>
    <xf numFmtId="14" fontId="8" fillId="38" borderId="8" xfId="7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9" fontId="0" fillId="9" borderId="8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8" xfId="0" applyNumberFormat="1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9" fontId="0" fillId="9" borderId="8" xfId="2" applyFont="1" applyFill="1" applyBorder="1" applyAlignment="1">
      <alignment horizontal="center" vertical="center" wrapText="1"/>
    </xf>
    <xf numFmtId="3" fontId="8" fillId="9" borderId="8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0" xfId="3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center"/>
    </xf>
    <xf numFmtId="44" fontId="8" fillId="9" borderId="0" xfId="0" applyNumberFormat="1" applyFont="1" applyFill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4" fontId="9" fillId="25" borderId="1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32" borderId="8" xfId="0" applyNumberFormat="1" applyFont="1" applyFill="1" applyBorder="1" applyAlignment="1">
      <alignment horizontal="center" vertical="center"/>
    </xf>
    <xf numFmtId="3" fontId="8" fillId="32" borderId="8" xfId="1" applyNumberFormat="1" applyFont="1" applyFill="1" applyBorder="1" applyAlignment="1">
      <alignment horizontal="center" vertical="center"/>
    </xf>
    <xf numFmtId="3" fontId="8" fillId="8" borderId="8" xfId="1" applyNumberFormat="1" applyFont="1" applyFill="1" applyBorder="1" applyAlignment="1">
      <alignment horizontal="center" vertical="center"/>
    </xf>
    <xf numFmtId="3" fontId="9" fillId="8" borderId="8" xfId="1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/>
    </xf>
    <xf numFmtId="1" fontId="8" fillId="33" borderId="8" xfId="1" applyNumberFormat="1" applyFont="1" applyFill="1" applyBorder="1" applyAlignment="1">
      <alignment horizontal="center" vertical="center"/>
    </xf>
    <xf numFmtId="1" fontId="19" fillId="8" borderId="8" xfId="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3" fontId="8" fillId="33" borderId="8" xfId="1" applyNumberFormat="1" applyFont="1" applyFill="1" applyBorder="1" applyAlignment="1">
      <alignment horizontal="center" vertical="center"/>
    </xf>
    <xf numFmtId="1" fontId="1" fillId="33" borderId="8" xfId="1" applyNumberFormat="1" applyFont="1" applyFill="1" applyBorder="1" applyAlignment="1">
      <alignment horizontal="center" vertical="center"/>
    </xf>
    <xf numFmtId="1" fontId="0" fillId="33" borderId="8" xfId="0" applyNumberFormat="1" applyFont="1" applyFill="1" applyBorder="1" applyAlignment="1">
      <alignment horizontal="center" vertical="center"/>
    </xf>
    <xf numFmtId="1" fontId="19" fillId="8" borderId="8" xfId="0" applyNumberFormat="1" applyFont="1" applyFill="1" applyBorder="1" applyAlignment="1">
      <alignment horizontal="center" vertical="center"/>
    </xf>
    <xf numFmtId="3" fontId="19" fillId="8" borderId="8" xfId="0" applyNumberFormat="1" applyFont="1" applyFill="1" applyBorder="1" applyAlignment="1">
      <alignment horizontal="center" vertical="center"/>
    </xf>
    <xf numFmtId="1" fontId="19" fillId="8" borderId="8" xfId="2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4" fontId="8" fillId="2" borderId="8" xfId="3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" fontId="8" fillId="32" borderId="8" xfId="0" applyNumberFormat="1" applyFont="1" applyFill="1" applyBorder="1" applyAlignment="1">
      <alignment horizontal="center" vertical="center"/>
    </xf>
    <xf numFmtId="14" fontId="9" fillId="8" borderId="8" xfId="1" applyNumberFormat="1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14" fontId="9" fillId="2" borderId="8" xfId="3" applyNumberFormat="1" applyFont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/>
    </xf>
    <xf numFmtId="164" fontId="8" fillId="22" borderId="8" xfId="5" applyNumberFormat="1" applyFont="1" applyFill="1" applyBorder="1" applyAlignment="1">
      <alignment horizontal="center" vertical="center"/>
    </xf>
    <xf numFmtId="4" fontId="0" fillId="27" borderId="8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8" xfId="0" applyNumberFormat="1" applyFont="1" applyFill="1" applyBorder="1" applyAlignment="1">
      <alignment horizontal="center" vertical="center"/>
    </xf>
    <xf numFmtId="170" fontId="9" fillId="0" borderId="8" xfId="0" applyNumberFormat="1" applyFont="1" applyBorder="1" applyAlignment="1">
      <alignment horizontal="center" vertical="center" wrapText="1"/>
    </xf>
    <xf numFmtId="0" fontId="0" fillId="29" borderId="0" xfId="0" applyFont="1" applyFill="1" applyAlignment="1">
      <alignment horizontal="center" vertical="center"/>
    </xf>
    <xf numFmtId="0" fontId="6" fillId="29" borderId="0" xfId="0" applyFont="1" applyFill="1" applyAlignment="1">
      <alignment horizontal="center" vertical="center"/>
    </xf>
    <xf numFmtId="0" fontId="0" fillId="29" borderId="8" xfId="0" applyFont="1" applyFill="1" applyBorder="1" applyAlignment="1">
      <alignment horizontal="center" vertical="center"/>
    </xf>
    <xf numFmtId="0" fontId="21" fillId="29" borderId="15" xfId="12" applyFont="1" applyFill="1" applyBorder="1"/>
    <xf numFmtId="0" fontId="21" fillId="29" borderId="15" xfId="9" applyFont="1" applyFill="1" applyBorder="1"/>
    <xf numFmtId="14" fontId="8" fillId="39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3" fontId="0" fillId="40" borderId="8" xfId="0" applyNumberFormat="1" applyFont="1" applyFill="1" applyBorder="1" applyAlignment="1">
      <alignment horizontal="center" vertical="center"/>
    </xf>
    <xf numFmtId="0" fontId="5" fillId="41" borderId="8" xfId="0" applyFont="1" applyFill="1" applyBorder="1" applyAlignment="1">
      <alignment horizontal="center" vertical="center" wrapText="1"/>
    </xf>
    <xf numFmtId="164" fontId="0" fillId="41" borderId="8" xfId="0" applyNumberFormat="1" applyFont="1" applyFill="1" applyBorder="1" applyAlignment="1">
      <alignment horizontal="center" vertical="center"/>
    </xf>
    <xf numFmtId="3" fontId="0" fillId="41" borderId="8" xfId="0" applyNumberFormat="1" applyFont="1" applyFill="1" applyBorder="1" applyAlignment="1">
      <alignment horizontal="center" vertical="center"/>
    </xf>
    <xf numFmtId="14" fontId="0" fillId="41" borderId="8" xfId="0" applyNumberFormat="1" applyFont="1" applyFill="1" applyBorder="1" applyAlignment="1">
      <alignment horizontal="center" vertical="center"/>
    </xf>
    <xf numFmtId="0" fontId="0" fillId="40" borderId="8" xfId="0" applyFon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3" fontId="9" fillId="41" borderId="8" xfId="0" applyNumberFormat="1" applyFont="1" applyFill="1" applyBorder="1" applyAlignment="1">
      <alignment horizontal="center" vertical="center"/>
    </xf>
    <xf numFmtId="0" fontId="6" fillId="3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34" borderId="8" xfId="0" applyNumberFormat="1" applyFont="1" applyFill="1" applyBorder="1" applyAlignment="1">
      <alignment horizontal="center" vertical="center"/>
    </xf>
    <xf numFmtId="3" fontId="8" fillId="41" borderId="8" xfId="0" applyNumberFormat="1" applyFont="1" applyFill="1" applyBorder="1" applyAlignment="1">
      <alignment horizontal="center" vertical="center"/>
    </xf>
    <xf numFmtId="14" fontId="9" fillId="2" borderId="1" xfId="3" applyNumberFormat="1" applyFont="1" applyBorder="1" applyAlignment="1">
      <alignment horizontal="center" vertical="center" wrapText="1"/>
    </xf>
    <xf numFmtId="0" fontId="8" fillId="16" borderId="8" xfId="5" applyFont="1" applyFill="1" applyBorder="1" applyAlignment="1">
      <alignment horizontal="center" vertical="center"/>
    </xf>
    <xf numFmtId="165" fontId="8" fillId="10" borderId="8" xfId="0" applyNumberFormat="1" applyFont="1" applyFill="1" applyBorder="1" applyAlignment="1">
      <alignment horizontal="center" vertical="center"/>
    </xf>
    <xf numFmtId="14" fontId="8" fillId="10" borderId="8" xfId="0" applyNumberFormat="1" applyFont="1" applyFill="1" applyBorder="1" applyAlignment="1">
      <alignment horizontal="center" vertical="center"/>
    </xf>
    <xf numFmtId="0" fontId="0" fillId="14" borderId="0" xfId="0" applyFont="1" applyFill="1" applyAlignment="1">
      <alignment horizontal="center" vertical="center"/>
    </xf>
    <xf numFmtId="164" fontId="8" fillId="42" borderId="8" xfId="6" applyNumberFormat="1" applyFont="1" applyFill="1" applyBorder="1" applyAlignment="1">
      <alignment horizontal="center" vertical="center"/>
    </xf>
    <xf numFmtId="164" fontId="8" fillId="42" borderId="8" xfId="7" applyNumberFormat="1" applyFont="1" applyFill="1" applyBorder="1" applyAlignment="1">
      <alignment horizontal="center" vertical="center"/>
    </xf>
    <xf numFmtId="0" fontId="0" fillId="33" borderId="8" xfId="0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 wrapText="1"/>
    </xf>
    <xf numFmtId="0" fontId="8" fillId="38" borderId="8" xfId="7" applyFont="1" applyFill="1" applyBorder="1" applyAlignment="1">
      <alignment horizontal="center" vertical="center" wrapText="1"/>
    </xf>
    <xf numFmtId="165" fontId="8" fillId="12" borderId="8" xfId="0" applyNumberFormat="1" applyFont="1" applyFill="1" applyBorder="1" applyAlignment="1">
      <alignment horizontal="center" vertical="center"/>
    </xf>
    <xf numFmtId="0" fontId="6" fillId="41" borderId="8" xfId="0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5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/>
    </xf>
    <xf numFmtId="14" fontId="8" fillId="33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 wrapText="1"/>
    </xf>
    <xf numFmtId="0" fontId="0" fillId="41" borderId="8" xfId="0" applyFont="1" applyFill="1" applyBorder="1" applyAlignment="1">
      <alignment horizontal="center" vertical="center"/>
    </xf>
    <xf numFmtId="0" fontId="13" fillId="41" borderId="8" xfId="0" applyFont="1" applyFill="1" applyBorder="1" applyAlignment="1">
      <alignment horizontal="center" vertical="center"/>
    </xf>
    <xf numFmtId="0" fontId="6" fillId="44" borderId="0" xfId="0" applyFont="1" applyFill="1" applyAlignment="1">
      <alignment horizontal="center" vertical="center"/>
    </xf>
    <xf numFmtId="9" fontId="8" fillId="10" borderId="8" xfId="2" applyFont="1" applyFill="1" applyBorder="1" applyAlignment="1">
      <alignment horizontal="center" vertical="center" wrapText="1"/>
    </xf>
    <xf numFmtId="0" fontId="8" fillId="9" borderId="8" xfId="3" applyFont="1" applyFill="1" applyBorder="1" applyAlignment="1">
      <alignment horizontal="center" vertical="center" wrapText="1"/>
    </xf>
    <xf numFmtId="0" fontId="8" fillId="9" borderId="8" xfId="8" applyFont="1" applyFill="1" applyBorder="1" applyAlignment="1">
      <alignment horizontal="center" vertical="center" wrapText="1"/>
    </xf>
    <xf numFmtId="164" fontId="8" fillId="9" borderId="8" xfId="8" applyNumberFormat="1" applyFont="1" applyFill="1" applyBorder="1" applyAlignment="1">
      <alignment horizontal="center" vertical="center" wrapText="1"/>
    </xf>
    <xf numFmtId="14" fontId="8" fillId="33" borderId="1" xfId="3" applyNumberFormat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3" fontId="6" fillId="9" borderId="8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32" borderId="8" xfId="0" applyFont="1" applyFill="1" applyBorder="1" applyAlignment="1">
      <alignment horizontal="center" vertical="center"/>
    </xf>
    <xf numFmtId="3" fontId="8" fillId="32" borderId="8" xfId="0" applyNumberFormat="1" applyFont="1" applyFill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6" fillId="0" borderId="11" xfId="0" applyFont="1" applyBorder="1"/>
    <xf numFmtId="0" fontId="0" fillId="0" borderId="0" xfId="0" applyBorder="1"/>
    <xf numFmtId="0" fontId="0" fillId="0" borderId="19" xfId="0" applyBorder="1"/>
    <xf numFmtId="0" fontId="0" fillId="0" borderId="11" xfId="0" applyBorder="1"/>
    <xf numFmtId="0" fontId="0" fillId="10" borderId="11" xfId="0" applyFont="1" applyFill="1" applyBorder="1" applyAlignment="1">
      <alignment horizontal="center" vertical="center"/>
    </xf>
    <xf numFmtId="0" fontId="0" fillId="46" borderId="0" xfId="0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3" fontId="6" fillId="46" borderId="0" xfId="0" applyNumberFormat="1" applyFont="1" applyFill="1" applyBorder="1" applyAlignment="1">
      <alignment horizontal="center"/>
    </xf>
    <xf numFmtId="3" fontId="6" fillId="47" borderId="0" xfId="0" applyNumberFormat="1" applyFont="1" applyFill="1" applyBorder="1" applyAlignment="1">
      <alignment horizontal="center"/>
    </xf>
    <xf numFmtId="0" fontId="0" fillId="0" borderId="13" xfId="0" applyBorder="1"/>
    <xf numFmtId="0" fontId="0" fillId="0" borderId="20" xfId="0" applyBorder="1"/>
    <xf numFmtId="0" fontId="0" fillId="0" borderId="21" xfId="0" applyBorder="1"/>
    <xf numFmtId="1" fontId="5" fillId="8" borderId="1" xfId="0" applyNumberFormat="1" applyFont="1" applyFill="1" applyBorder="1" applyAlignment="1">
      <alignment horizontal="center"/>
    </xf>
    <xf numFmtId="0" fontId="4" fillId="45" borderId="9" xfId="0" applyFont="1" applyFill="1" applyBorder="1"/>
    <xf numFmtId="0" fontId="0" fillId="36" borderId="11" xfId="0" applyFill="1" applyBorder="1"/>
    <xf numFmtId="3" fontId="0" fillId="36" borderId="0" xfId="0" applyNumberFormat="1" applyFill="1" applyBorder="1" applyAlignment="1">
      <alignment horizontal="center" vertical="center"/>
    </xf>
    <xf numFmtId="0" fontId="0" fillId="49" borderId="11" xfId="0" applyFill="1" applyBorder="1"/>
    <xf numFmtId="3" fontId="0" fillId="49" borderId="0" xfId="0" applyNumberFormat="1" applyFill="1" applyBorder="1" applyAlignment="1">
      <alignment horizontal="center" vertical="center"/>
    </xf>
    <xf numFmtId="0" fontId="0" fillId="48" borderId="11" xfId="0" applyFill="1" applyBorder="1"/>
    <xf numFmtId="3" fontId="0" fillId="48" borderId="0" xfId="0" applyNumberFormat="1" applyFill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/>
    </xf>
    <xf numFmtId="0" fontId="22" fillId="45" borderId="10" xfId="0" applyFont="1" applyFill="1" applyBorder="1"/>
    <xf numFmtId="0" fontId="22" fillId="45" borderId="5" xfId="0" applyFont="1" applyFill="1" applyBorder="1"/>
    <xf numFmtId="0" fontId="0" fillId="0" borderId="11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0" xfId="0" applyNumberFormat="1" applyBorder="1"/>
    <xf numFmtId="0" fontId="0" fillId="0" borderId="0" xfId="0" applyAlignment="1">
      <alignment wrapText="1"/>
    </xf>
    <xf numFmtId="0" fontId="0" fillId="36" borderId="12" xfId="0" applyFill="1" applyBorder="1" applyAlignment="1">
      <alignment horizontal="center" vertical="center"/>
    </xf>
    <xf numFmtId="0" fontId="0" fillId="50" borderId="12" xfId="0" applyFill="1" applyBorder="1" applyAlignment="1">
      <alignment horizontal="center" vertical="center"/>
    </xf>
    <xf numFmtId="0" fontId="0" fillId="28" borderId="12" xfId="0" applyFill="1" applyBorder="1" applyAlignment="1">
      <alignment horizontal="center" vertical="center"/>
    </xf>
    <xf numFmtId="0" fontId="0" fillId="36" borderId="5" xfId="0" applyFill="1" applyBorder="1"/>
    <xf numFmtId="0" fontId="0" fillId="50" borderId="12" xfId="0" applyFill="1" applyBorder="1"/>
    <xf numFmtId="0" fontId="0" fillId="28" borderId="14" xfId="0" applyFill="1" applyBorder="1"/>
    <xf numFmtId="3" fontId="0" fillId="0" borderId="0" xfId="0" applyNumberForma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0" fillId="0" borderId="11" xfId="0" applyBorder="1" applyAlignment="1">
      <alignment wrapText="1"/>
    </xf>
    <xf numFmtId="0" fontId="6" fillId="46" borderId="0" xfId="0" applyFont="1" applyFill="1" applyBorder="1" applyAlignment="1">
      <alignment horizontal="center" vertical="center" wrapText="1"/>
    </xf>
    <xf numFmtId="0" fontId="6" fillId="47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10" xfId="0" applyBorder="1"/>
    <xf numFmtId="0" fontId="0" fillId="0" borderId="9" xfId="0" applyBorder="1"/>
    <xf numFmtId="0" fontId="0" fillId="0" borderId="18" xfId="0" applyBorder="1"/>
    <xf numFmtId="0" fontId="6" fillId="0" borderId="5" xfId="0" applyFont="1" applyBorder="1" applyAlignment="1">
      <alignment horizontal="center"/>
    </xf>
    <xf numFmtId="3" fontId="0" fillId="41" borderId="12" xfId="0" applyNumberFormat="1" applyFill="1" applyBorder="1" applyAlignment="1">
      <alignment horizontal="center"/>
    </xf>
    <xf numFmtId="3" fontId="6" fillId="0" borderId="14" xfId="0" applyNumberFormat="1" applyFont="1" applyBorder="1" applyAlignment="1">
      <alignment horizontal="center"/>
    </xf>
    <xf numFmtId="3" fontId="0" fillId="36" borderId="5" xfId="0" applyNumberFormat="1" applyFill="1" applyBorder="1" applyAlignment="1">
      <alignment horizontal="center"/>
    </xf>
    <xf numFmtId="3" fontId="6" fillId="36" borderId="5" xfId="0" applyNumberFormat="1" applyFont="1" applyFill="1" applyBorder="1" applyAlignment="1">
      <alignment horizontal="center"/>
    </xf>
    <xf numFmtId="0" fontId="0" fillId="41" borderId="12" xfId="0" applyFill="1" applyBorder="1"/>
    <xf numFmtId="3" fontId="6" fillId="41" borderId="12" xfId="0" applyNumberFormat="1" applyFont="1" applyFill="1" applyBorder="1" applyAlignment="1">
      <alignment horizontal="center"/>
    </xf>
    <xf numFmtId="3" fontId="0" fillId="28" borderId="14" xfId="0" applyNumberFormat="1" applyFill="1" applyBorder="1" applyAlignment="1">
      <alignment horizontal="center"/>
    </xf>
    <xf numFmtId="3" fontId="6" fillId="28" borderId="14" xfId="0" applyNumberFormat="1" applyFont="1" applyFill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20" fontId="0" fillId="0" borderId="19" xfId="0" applyNumberFormat="1" applyBorder="1"/>
    <xf numFmtId="0" fontId="4" fillId="0" borderId="19" xfId="0" applyFont="1" applyBorder="1"/>
    <xf numFmtId="0" fontId="6" fillId="0" borderId="2" xfId="0" applyFont="1" applyBorder="1" applyAlignment="1">
      <alignment horizontal="center"/>
    </xf>
    <xf numFmtId="164" fontId="8" fillId="32" borderId="8" xfId="0" applyNumberFormat="1" applyFont="1" applyFill="1" applyBorder="1" applyAlignment="1">
      <alignment horizontal="center" vertical="center" wrapText="1"/>
    </xf>
    <xf numFmtId="0" fontId="7" fillId="0" borderId="0" xfId="0" applyFont="1" applyBorder="1"/>
    <xf numFmtId="3" fontId="6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/>
    </xf>
    <xf numFmtId="14" fontId="9" fillId="32" borderId="8" xfId="0" applyNumberFormat="1" applyFont="1" applyFill="1" applyBorder="1" applyAlignment="1">
      <alignment horizontal="center" vertical="center"/>
    </xf>
    <xf numFmtId="0" fontId="8" fillId="33" borderId="8" xfId="0" applyFont="1" applyFill="1" applyBorder="1" applyAlignment="1">
      <alignment horizontal="center" vertical="center"/>
    </xf>
    <xf numFmtId="1" fontId="8" fillId="33" borderId="8" xfId="0" applyNumberFormat="1" applyFont="1" applyFill="1" applyBorder="1" applyAlignment="1">
      <alignment horizontal="center" vertical="center"/>
    </xf>
    <xf numFmtId="3" fontId="8" fillId="33" borderId="8" xfId="0" applyNumberFormat="1" applyFont="1" applyFill="1" applyBorder="1" applyAlignment="1">
      <alignment horizontal="center" vertical="center"/>
    </xf>
    <xf numFmtId="14" fontId="9" fillId="33" borderId="8" xfId="0" applyNumberFormat="1" applyFont="1" applyFill="1" applyBorder="1" applyAlignment="1">
      <alignment horizontal="center" vertical="center"/>
    </xf>
    <xf numFmtId="0" fontId="6" fillId="33" borderId="8" xfId="0" applyFont="1" applyFill="1" applyBorder="1" applyAlignment="1">
      <alignment horizontal="center" vertical="center"/>
    </xf>
    <xf numFmtId="164" fontId="9" fillId="33" borderId="8" xfId="0" applyNumberFormat="1" applyFont="1" applyFill="1" applyBorder="1" applyAlignment="1">
      <alignment horizontal="center" vertical="center"/>
    </xf>
    <xf numFmtId="3" fontId="9" fillId="33" borderId="8" xfId="0" applyNumberFormat="1" applyFont="1" applyFill="1" applyBorder="1" applyAlignment="1">
      <alignment horizontal="center" vertical="center"/>
    </xf>
    <xf numFmtId="3" fontId="0" fillId="33" borderId="8" xfId="0" applyNumberFormat="1" applyFont="1" applyFill="1" applyBorder="1" applyAlignment="1">
      <alignment horizontal="center" vertical="center"/>
    </xf>
    <xf numFmtId="3" fontId="6" fillId="33" borderId="8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24" fillId="51" borderId="0" xfId="0" applyFont="1" applyFill="1" applyBorder="1" applyAlignment="1">
      <alignment horizontal="center" vertical="center" wrapText="1"/>
    </xf>
    <xf numFmtId="0" fontId="24" fillId="17" borderId="0" xfId="0" applyFont="1" applyFill="1" applyBorder="1" applyAlignment="1">
      <alignment horizontal="center" vertical="center" wrapText="1"/>
    </xf>
    <xf numFmtId="0" fontId="23" fillId="51" borderId="0" xfId="0" applyFont="1" applyFill="1" applyBorder="1" applyAlignment="1">
      <alignment horizontal="center" vertical="center"/>
    </xf>
    <xf numFmtId="0" fontId="23" fillId="17" borderId="0" xfId="0" applyFont="1" applyFill="1" applyBorder="1" applyAlignment="1">
      <alignment horizontal="center" vertical="center"/>
    </xf>
    <xf numFmtId="3" fontId="24" fillId="51" borderId="0" xfId="0" applyNumberFormat="1" applyFont="1" applyFill="1" applyBorder="1" applyAlignment="1">
      <alignment horizontal="center"/>
    </xf>
    <xf numFmtId="3" fontId="24" fillId="17" borderId="0" xfId="0" applyNumberFormat="1" applyFont="1" applyFill="1" applyBorder="1" applyAlignment="1">
      <alignment horizontal="center"/>
    </xf>
    <xf numFmtId="0" fontId="0" fillId="0" borderId="22" xfId="0" applyFont="1" applyBorder="1" applyAlignment="1">
      <alignment horizontal="center" vertical="center"/>
    </xf>
    <xf numFmtId="0" fontId="0" fillId="46" borderId="23" xfId="0" applyFill="1" applyBorder="1" applyAlignment="1">
      <alignment horizontal="center" vertical="center"/>
    </xf>
    <xf numFmtId="0" fontId="23" fillId="51" borderId="23" xfId="0" applyFont="1" applyFill="1" applyBorder="1" applyAlignment="1">
      <alignment horizontal="center" vertical="center"/>
    </xf>
    <xf numFmtId="0" fontId="23" fillId="17" borderId="24" xfId="0" applyFont="1" applyFill="1" applyBorder="1" applyAlignment="1">
      <alignment horizontal="center" vertical="center"/>
    </xf>
    <xf numFmtId="0" fontId="0" fillId="47" borderId="0" xfId="0" applyFont="1" applyFill="1" applyBorder="1" applyAlignment="1">
      <alignment horizontal="center" vertical="center"/>
    </xf>
    <xf numFmtId="0" fontId="0" fillId="47" borderId="23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17" fillId="0" borderId="0" xfId="0" applyFont="1" applyAlignment="1">
      <alignment horizontal="center"/>
    </xf>
    <xf numFmtId="3" fontId="17" fillId="0" borderId="0" xfId="0" applyNumberFormat="1" applyFont="1" applyAlignment="1">
      <alignment horizontal="center"/>
    </xf>
    <xf numFmtId="14" fontId="8" fillId="33" borderId="8" xfId="3" applyNumberFormat="1" applyFont="1" applyFill="1" applyBorder="1" applyAlignment="1">
      <alignment horizontal="center" vertical="center" wrapText="1"/>
    </xf>
    <xf numFmtId="0" fontId="0" fillId="32" borderId="17" xfId="0" applyNumberFormat="1" applyFont="1" applyFill="1" applyBorder="1" applyAlignment="1">
      <alignment horizontal="center" vertical="center"/>
    </xf>
    <xf numFmtId="0" fontId="1" fillId="33" borderId="17" xfId="1" applyNumberFormat="1" applyFont="1" applyFill="1" applyBorder="1" applyAlignment="1">
      <alignment horizontal="center" vertical="center"/>
    </xf>
    <xf numFmtId="0" fontId="8" fillId="32" borderId="17" xfId="1" applyNumberFormat="1" applyFont="1" applyFill="1" applyBorder="1" applyAlignment="1">
      <alignment horizontal="center" vertical="center"/>
    </xf>
    <xf numFmtId="0" fontId="19" fillId="8" borderId="17" xfId="0" applyNumberFormat="1" applyFont="1" applyFill="1" applyBorder="1" applyAlignment="1">
      <alignment horizontal="center" vertical="center"/>
    </xf>
    <xf numFmtId="0" fontId="19" fillId="8" borderId="17" xfId="2" applyNumberFormat="1" applyFont="1" applyFill="1" applyBorder="1" applyAlignment="1">
      <alignment horizontal="center" vertical="center"/>
    </xf>
    <xf numFmtId="0" fontId="17" fillId="8" borderId="17" xfId="1" applyNumberFormat="1" applyFont="1" applyFill="1" applyBorder="1" applyAlignment="1">
      <alignment horizontal="center" vertical="center"/>
    </xf>
    <xf numFmtId="164" fontId="8" fillId="33" borderId="26" xfId="1" applyNumberFormat="1" applyFont="1" applyFill="1" applyBorder="1" applyAlignment="1">
      <alignment horizontal="center" vertical="center"/>
    </xf>
    <xf numFmtId="164" fontId="0" fillId="32" borderId="26" xfId="0" applyNumberFormat="1" applyFont="1" applyFill="1" applyBorder="1" applyAlignment="1">
      <alignment horizontal="center" vertical="center"/>
    </xf>
    <xf numFmtId="164" fontId="8" fillId="32" borderId="26" xfId="1" applyNumberFormat="1" applyFont="1" applyFill="1" applyBorder="1" applyAlignment="1">
      <alignment horizontal="center" vertical="center"/>
    </xf>
    <xf numFmtId="164" fontId="8" fillId="33" borderId="26" xfId="0" applyNumberFormat="1" applyFont="1" applyFill="1" applyBorder="1" applyAlignment="1">
      <alignment horizontal="center" vertical="center"/>
    </xf>
    <xf numFmtId="164" fontId="19" fillId="8" borderId="26" xfId="0" applyNumberFormat="1" applyFont="1" applyFill="1" applyBorder="1" applyAlignment="1">
      <alignment horizontal="center" vertical="center"/>
    </xf>
    <xf numFmtId="164" fontId="0" fillId="32" borderId="26" xfId="1" applyNumberFormat="1" applyFont="1" applyFill="1" applyBorder="1" applyAlignment="1">
      <alignment horizontal="center" vertical="center"/>
    </xf>
    <xf numFmtId="169" fontId="9" fillId="8" borderId="26" xfId="1" applyNumberFormat="1" applyFont="1" applyFill="1" applyBorder="1" applyAlignment="1">
      <alignment horizontal="center" vertical="center"/>
    </xf>
    <xf numFmtId="0" fontId="0" fillId="50" borderId="11" xfId="0" applyFill="1" applyBorder="1"/>
    <xf numFmtId="3" fontId="0" fillId="50" borderId="0" xfId="0" applyNumberFormat="1" applyFill="1" applyBorder="1" applyAlignment="1">
      <alignment horizontal="center" vertical="center"/>
    </xf>
    <xf numFmtId="0" fontId="9" fillId="0" borderId="11" xfId="0" applyFont="1" applyBorder="1"/>
    <xf numFmtId="3" fontId="9" fillId="0" borderId="0" xfId="0" applyNumberFormat="1" applyFont="1" applyBorder="1" applyAlignment="1">
      <alignment horizontal="center"/>
    </xf>
    <xf numFmtId="4" fontId="0" fillId="0" borderId="0" xfId="0" applyNumberFormat="1" applyFont="1" applyAlignment="1">
      <alignment horizontal="center" vertical="center"/>
    </xf>
    <xf numFmtId="164" fontId="8" fillId="14" borderId="8" xfId="7" applyNumberFormat="1" applyFont="1" applyFill="1" applyBorder="1" applyAlignment="1">
      <alignment horizontal="center" vertical="center"/>
    </xf>
    <xf numFmtId="0" fontId="8" fillId="33" borderId="17" xfId="0" applyNumberFormat="1" applyFont="1" applyFill="1" applyBorder="1" applyAlignment="1">
      <alignment horizontal="center" vertical="center"/>
    </xf>
    <xf numFmtId="0" fontId="6" fillId="29" borderId="5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 wrapText="1"/>
    </xf>
    <xf numFmtId="0" fontId="6" fillId="29" borderId="14" xfId="0" applyFont="1" applyFill="1" applyBorder="1" applyAlignment="1">
      <alignment horizontal="center" vertical="center"/>
    </xf>
    <xf numFmtId="41" fontId="6" fillId="29" borderId="2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41" fontId="6" fillId="29" borderId="0" xfId="0" applyNumberFormat="1" applyFont="1" applyFill="1" applyAlignment="1">
      <alignment horizontal="center" vertical="center"/>
    </xf>
    <xf numFmtId="41" fontId="0" fillId="29" borderId="12" xfId="0" applyNumberFormat="1" applyFont="1" applyFill="1" applyBorder="1" applyAlignment="1"/>
    <xf numFmtId="41" fontId="0" fillId="29" borderId="6" xfId="0" applyNumberFormat="1" applyFont="1" applyFill="1" applyBorder="1" applyAlignment="1"/>
    <xf numFmtId="0" fontId="0" fillId="0" borderId="2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9" fontId="0" fillId="0" borderId="29" xfId="2" applyFont="1" applyBorder="1" applyAlignment="1">
      <alignment horizontal="center" vertical="center"/>
    </xf>
    <xf numFmtId="9" fontId="0" fillId="0" borderId="33" xfId="2" applyFont="1" applyBorder="1" applyAlignment="1">
      <alignment horizontal="center" vertical="center"/>
    </xf>
    <xf numFmtId="9" fontId="0" fillId="0" borderId="31" xfId="2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9" fontId="6" fillId="0" borderId="35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9" fontId="6" fillId="0" borderId="35" xfId="2" applyFont="1" applyBorder="1" applyAlignment="1">
      <alignment horizontal="center" vertical="center"/>
    </xf>
    <xf numFmtId="164" fontId="8" fillId="14" borderId="8" xfId="6" applyNumberFormat="1" applyFont="1" applyFill="1" applyBorder="1" applyAlignment="1">
      <alignment horizontal="center" vertical="center" wrapText="1"/>
    </xf>
    <xf numFmtId="164" fontId="8" fillId="14" borderId="8" xfId="6" applyNumberFormat="1" applyFont="1" applyFill="1" applyBorder="1" applyAlignment="1">
      <alignment horizontal="center" vertical="center"/>
    </xf>
    <xf numFmtId="9" fontId="6" fillId="0" borderId="37" xfId="2" applyFont="1" applyBorder="1" applyAlignment="1">
      <alignment horizontal="center" vertical="center"/>
    </xf>
    <xf numFmtId="9" fontId="6" fillId="0" borderId="35" xfId="0" applyNumberFormat="1" applyFont="1" applyBorder="1" applyAlignment="1">
      <alignment horizontal="center" vertical="center" wrapText="1"/>
    </xf>
    <xf numFmtId="9" fontId="6" fillId="0" borderId="35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8" fillId="39" borderId="8" xfId="3" applyNumberFormat="1" applyFont="1" applyFill="1" applyBorder="1" applyAlignment="1">
      <alignment horizontal="center" vertical="center" wrapText="1"/>
    </xf>
    <xf numFmtId="3" fontId="9" fillId="8" borderId="8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165" fontId="0" fillId="14" borderId="8" xfId="0" applyNumberFormat="1" applyFont="1" applyFill="1" applyBorder="1" applyAlignment="1">
      <alignment horizontal="center" vertical="center"/>
    </xf>
    <xf numFmtId="165" fontId="0" fillId="14" borderId="1" xfId="0" applyNumberFormat="1" applyFont="1" applyFill="1" applyBorder="1" applyAlignment="1">
      <alignment horizontal="center" vertical="center"/>
    </xf>
    <xf numFmtId="9" fontId="8" fillId="14" borderId="1" xfId="2" applyFont="1" applyFill="1" applyBorder="1" applyAlignment="1">
      <alignment horizontal="center" vertical="center" wrapText="1"/>
    </xf>
    <xf numFmtId="165" fontId="8" fillId="14" borderId="8" xfId="0" applyNumberFormat="1" applyFont="1" applyFill="1" applyBorder="1" applyAlignment="1">
      <alignment horizontal="center" vertical="center"/>
    </xf>
    <xf numFmtId="4" fontId="8" fillId="14" borderId="8" xfId="0" applyNumberFormat="1" applyFont="1" applyFill="1" applyBorder="1" applyAlignment="1">
      <alignment horizontal="center" vertical="center"/>
    </xf>
    <xf numFmtId="43" fontId="8" fillId="14" borderId="1" xfId="1" applyFont="1" applyFill="1" applyBorder="1" applyAlignment="1">
      <alignment horizontal="center" vertical="center" wrapText="1"/>
    </xf>
    <xf numFmtId="10" fontId="0" fillId="14" borderId="8" xfId="2" applyNumberFormat="1" applyFont="1" applyFill="1" applyBorder="1" applyAlignment="1">
      <alignment horizontal="center" vertical="center"/>
    </xf>
    <xf numFmtId="9" fontId="8" fillId="14" borderId="8" xfId="2" applyFont="1" applyFill="1" applyBorder="1" applyAlignment="1">
      <alignment horizontal="center" vertical="center" wrapText="1"/>
    </xf>
    <xf numFmtId="43" fontId="8" fillId="14" borderId="8" xfId="1" applyFont="1" applyFill="1" applyBorder="1" applyAlignment="1">
      <alignment horizontal="center" vertical="center" wrapText="1"/>
    </xf>
    <xf numFmtId="0" fontId="6" fillId="44" borderId="8" xfId="0" applyFont="1" applyFill="1" applyBorder="1" applyAlignment="1">
      <alignment horizontal="center" vertical="center" wrapText="1"/>
    </xf>
    <xf numFmtId="164" fontId="8" fillId="14" borderId="8" xfId="7" applyNumberFormat="1" applyFont="1" applyFill="1" applyBorder="1" applyAlignment="1">
      <alignment horizontal="center" vertical="center" wrapText="1"/>
    </xf>
    <xf numFmtId="0" fontId="26" fillId="45" borderId="20" xfId="0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0" xfId="0" applyNumberFormat="1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 wrapText="1"/>
    </xf>
    <xf numFmtId="4" fontId="0" fillId="25" borderId="8" xfId="0" applyNumberFormat="1" applyFont="1" applyFill="1" applyBorder="1" applyAlignment="1">
      <alignment horizontal="center" vertical="center"/>
    </xf>
    <xf numFmtId="0" fontId="8" fillId="4" borderId="8" xfId="5" applyFont="1" applyBorder="1" applyAlignment="1">
      <alignment horizontal="center" vertical="center" wrapText="1"/>
    </xf>
    <xf numFmtId="164" fontId="9" fillId="8" borderId="26" xfId="1" applyNumberFormat="1" applyFont="1" applyFill="1" applyBorder="1" applyAlignment="1">
      <alignment horizontal="center" vertical="center"/>
    </xf>
    <xf numFmtId="43" fontId="8" fillId="17" borderId="8" xfId="3" applyNumberFormat="1" applyFont="1" applyFill="1" applyBorder="1" applyAlignment="1">
      <alignment horizontal="center" vertical="center" wrapText="1"/>
    </xf>
    <xf numFmtId="43" fontId="8" fillId="10" borderId="8" xfId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/>
    </xf>
    <xf numFmtId="14" fontId="8" fillId="32" borderId="8" xfId="3" applyNumberFormat="1" applyFont="1" applyFill="1" applyBorder="1" applyAlignment="1">
      <alignment horizontal="center" vertical="center" wrapText="1"/>
    </xf>
    <xf numFmtId="0" fontId="22" fillId="45" borderId="10" xfId="0" applyFont="1" applyFill="1" applyBorder="1" applyAlignment="1"/>
    <xf numFmtId="0" fontId="22" fillId="45" borderId="9" xfId="0" applyFont="1" applyFill="1" applyBorder="1" applyAlignment="1"/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12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3" fontId="0" fillId="0" borderId="12" xfId="0" applyNumberFormat="1" applyBorder="1" applyAlignment="1">
      <alignment horizontal="center"/>
    </xf>
    <xf numFmtId="3" fontId="0" fillId="0" borderId="12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/>
    </xf>
    <xf numFmtId="3" fontId="0" fillId="0" borderId="14" xfId="0" applyNumberFormat="1" applyBorder="1" applyAlignment="1">
      <alignment horizontal="center" vertical="center"/>
    </xf>
    <xf numFmtId="0" fontId="29" fillId="0" borderId="0" xfId="0" applyFont="1"/>
    <xf numFmtId="0" fontId="29" fillId="0" borderId="0" xfId="0" applyFont="1" applyAlignment="1">
      <alignment horizontal="center" vertical="center"/>
    </xf>
    <xf numFmtId="3" fontId="29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7" fillId="39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6" fillId="0" borderId="12" xfId="0" applyFont="1" applyBorder="1" applyAlignment="1">
      <alignment horizontal="center"/>
    </xf>
    <xf numFmtId="0" fontId="0" fillId="32" borderId="12" xfId="0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32" borderId="14" xfId="0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0" xfId="0" applyFont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2" borderId="12" xfId="0" applyFill="1" applyBorder="1" applyAlignment="1">
      <alignment horizontal="center" vertical="center"/>
    </xf>
    <xf numFmtId="0" fontId="0" fillId="32" borderId="14" xfId="0" applyFill="1" applyBorder="1" applyAlignment="1">
      <alignment horizontal="center" vertical="center"/>
    </xf>
    <xf numFmtId="0" fontId="0" fillId="32" borderId="5" xfId="0" applyFill="1" applyBorder="1" applyAlignment="1">
      <alignment horizontal="center" vertical="center"/>
    </xf>
    <xf numFmtId="3" fontId="0" fillId="57" borderId="41" xfId="0" applyNumberFormat="1" applyFont="1" applyFill="1" applyBorder="1" applyAlignment="1">
      <alignment horizontal="center"/>
    </xf>
    <xf numFmtId="3" fontId="0" fillId="56" borderId="41" xfId="0" applyNumberFormat="1" applyFont="1" applyFill="1" applyBorder="1" applyAlignment="1">
      <alignment horizontal="center"/>
    </xf>
    <xf numFmtId="3" fontId="17" fillId="57" borderId="41" xfId="0" applyNumberFormat="1" applyFont="1" applyFill="1" applyBorder="1" applyAlignment="1">
      <alignment horizontal="center"/>
    </xf>
    <xf numFmtId="3" fontId="17" fillId="56" borderId="41" xfId="0" applyNumberFormat="1" applyFont="1" applyFill="1" applyBorder="1" applyAlignment="1">
      <alignment horizontal="center"/>
    </xf>
    <xf numFmtId="0" fontId="29" fillId="0" borderId="0" xfId="0" applyFont="1" applyAlignment="1">
      <alignment wrapText="1"/>
    </xf>
    <xf numFmtId="0" fontId="6" fillId="56" borderId="41" xfId="0" applyFont="1" applyFill="1" applyBorder="1" applyAlignment="1">
      <alignment horizontal="center" vertical="center"/>
    </xf>
    <xf numFmtId="0" fontId="6" fillId="56" borderId="41" xfId="0" applyFont="1" applyFill="1" applyBorder="1" applyAlignment="1">
      <alignment horizontal="center" vertical="center" wrapText="1"/>
    </xf>
    <xf numFmtId="164" fontId="8" fillId="22" borderId="1" xfId="5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 wrapText="1"/>
    </xf>
    <xf numFmtId="14" fontId="8" fillId="8" borderId="8" xfId="0" applyNumberFormat="1" applyFont="1" applyFill="1" applyBorder="1" applyAlignment="1">
      <alignment horizontal="center" vertical="center" wrapText="1"/>
    </xf>
    <xf numFmtId="4" fontId="8" fillId="25" borderId="8" xfId="0" applyNumberFormat="1" applyFont="1" applyFill="1" applyBorder="1" applyAlignment="1">
      <alignment horizontal="center" vertical="center"/>
    </xf>
    <xf numFmtId="165" fontId="8" fillId="23" borderId="8" xfId="0" applyNumberFormat="1" applyFont="1" applyFill="1" applyBorder="1" applyAlignment="1">
      <alignment horizontal="center" vertical="center"/>
    </xf>
    <xf numFmtId="0" fontId="0" fillId="44" borderId="0" xfId="0" applyFont="1" applyFill="1" applyAlignment="1">
      <alignment horizontal="center" vertical="center"/>
    </xf>
    <xf numFmtId="164" fontId="9" fillId="8" borderId="17" xfId="1" applyNumberFormat="1" applyFont="1" applyFill="1" applyBorder="1" applyAlignment="1">
      <alignment horizontal="center" vertical="center"/>
    </xf>
    <xf numFmtId="0" fontId="32" fillId="8" borderId="8" xfId="0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/>
    </xf>
    <xf numFmtId="4" fontId="8" fillId="25" borderId="1" xfId="0" applyNumberFormat="1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 wrapText="1"/>
    </xf>
    <xf numFmtId="0" fontId="8" fillId="4" borderId="1" xfId="5" applyFont="1" applyBorder="1" applyAlignment="1">
      <alignment horizontal="center" vertical="center" wrapText="1"/>
    </xf>
    <xf numFmtId="0" fontId="8" fillId="16" borderId="1" xfId="5" applyFont="1" applyFill="1" applyBorder="1" applyAlignment="1">
      <alignment horizontal="center" vertical="center"/>
    </xf>
    <xf numFmtId="165" fontId="8" fillId="22" borderId="1" xfId="5" applyNumberFormat="1" applyFont="1" applyFill="1" applyBorder="1" applyAlignment="1">
      <alignment horizontal="center" vertical="center"/>
    </xf>
    <xf numFmtId="14" fontId="8" fillId="17" borderId="1" xfId="7" applyNumberFormat="1" applyFont="1" applyFill="1" applyBorder="1" applyAlignment="1">
      <alignment horizontal="center" vertical="center" wrapText="1"/>
    </xf>
    <xf numFmtId="0" fontId="5" fillId="17" borderId="1" xfId="7" applyFont="1" applyFill="1" applyBorder="1" applyAlignment="1">
      <alignment horizontal="center" vertical="center" wrapText="1"/>
    </xf>
    <xf numFmtId="0" fontId="8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 wrapText="1"/>
    </xf>
    <xf numFmtId="0" fontId="5" fillId="17" borderId="1" xfId="6" applyFont="1" applyFill="1" applyBorder="1" applyAlignment="1">
      <alignment horizontal="center" vertical="center" wrapText="1"/>
    </xf>
    <xf numFmtId="43" fontId="8" fillId="17" borderId="1" xfId="3" applyNumberFormat="1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165" fontId="8" fillId="11" borderId="1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/>
    </xf>
    <xf numFmtId="165" fontId="8" fillId="23" borderId="1" xfId="0" applyNumberFormat="1" applyFont="1" applyFill="1" applyBorder="1" applyAlignment="1">
      <alignment horizontal="center" vertical="center"/>
    </xf>
    <xf numFmtId="165" fontId="6" fillId="23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165" fontId="5" fillId="11" borderId="1" xfId="0" applyNumberFormat="1" applyFont="1" applyFill="1" applyBorder="1" applyAlignment="1">
      <alignment horizontal="center" vertical="center"/>
    </xf>
    <xf numFmtId="164" fontId="9" fillId="32" borderId="8" xfId="0" applyNumberFormat="1" applyFont="1" applyFill="1" applyBorder="1" applyAlignment="1">
      <alignment horizontal="center" vertical="center"/>
    </xf>
    <xf numFmtId="3" fontId="9" fillId="32" borderId="8" xfId="0" applyNumberFormat="1" applyFont="1" applyFill="1" applyBorder="1" applyAlignment="1">
      <alignment horizontal="center" vertical="center"/>
    </xf>
    <xf numFmtId="14" fontId="6" fillId="33" borderId="8" xfId="0" applyNumberFormat="1" applyFont="1" applyFill="1" applyBorder="1" applyAlignment="1">
      <alignment horizontal="center" vertical="center"/>
    </xf>
    <xf numFmtId="14" fontId="6" fillId="32" borderId="8" xfId="0" applyNumberFormat="1" applyFont="1" applyFill="1" applyBorder="1" applyAlignment="1">
      <alignment horizontal="center" vertical="center"/>
    </xf>
    <xf numFmtId="14" fontId="0" fillId="14" borderId="8" xfId="0" applyNumberFormat="1" applyFont="1" applyFill="1" applyBorder="1" applyAlignment="1">
      <alignment horizontal="center" vertical="center"/>
    </xf>
    <xf numFmtId="0" fontId="13" fillId="32" borderId="8" xfId="0" applyFont="1" applyFill="1" applyBorder="1" applyAlignment="1">
      <alignment horizontal="center" vertical="center"/>
    </xf>
    <xf numFmtId="164" fontId="8" fillId="32" borderId="26" xfId="0" applyNumberFormat="1" applyFont="1" applyFill="1" applyBorder="1" applyAlignment="1">
      <alignment horizontal="center" vertical="center"/>
    </xf>
    <xf numFmtId="0" fontId="8" fillId="32" borderId="17" xfId="0" applyNumberFormat="1" applyFont="1" applyFill="1" applyBorder="1" applyAlignment="1">
      <alignment horizontal="center" vertical="center"/>
    </xf>
    <xf numFmtId="1" fontId="19" fillId="8" borderId="17" xfId="0" applyNumberFormat="1" applyFont="1" applyFill="1" applyBorder="1" applyAlignment="1">
      <alignment horizontal="center" vertical="center"/>
    </xf>
    <xf numFmtId="1" fontId="0" fillId="32" borderId="17" xfId="0" applyNumberFormat="1" applyFont="1" applyFill="1" applyBorder="1" applyAlignment="1">
      <alignment horizontal="center" vertical="center"/>
    </xf>
    <xf numFmtId="1" fontId="8" fillId="32" borderId="17" xfId="1" applyNumberFormat="1" applyFont="1" applyFill="1" applyBorder="1" applyAlignment="1">
      <alignment horizontal="center" vertical="center"/>
    </xf>
    <xf numFmtId="1" fontId="1" fillId="33" borderId="17" xfId="1" applyNumberFormat="1" applyFont="1" applyFill="1" applyBorder="1" applyAlignment="1">
      <alignment horizontal="center" vertical="center"/>
    </xf>
    <xf numFmtId="1" fontId="8" fillId="33" borderId="17" xfId="0" applyNumberFormat="1" applyFont="1" applyFill="1" applyBorder="1" applyAlignment="1">
      <alignment horizontal="center" vertical="center"/>
    </xf>
    <xf numFmtId="1" fontId="8" fillId="32" borderId="17" xfId="0" applyNumberFormat="1" applyFont="1" applyFill="1" applyBorder="1" applyAlignment="1">
      <alignment horizontal="center" vertical="center"/>
    </xf>
    <xf numFmtId="1" fontId="19" fillId="8" borderId="17" xfId="2" applyNumberFormat="1" applyFont="1" applyFill="1" applyBorder="1" applyAlignment="1">
      <alignment horizontal="center" vertical="center"/>
    </xf>
    <xf numFmtId="1" fontId="17" fillId="8" borderId="17" xfId="1" applyNumberFormat="1" applyFont="1" applyFill="1" applyBorder="1" applyAlignment="1">
      <alignment horizontal="center" vertical="center"/>
    </xf>
    <xf numFmtId="9" fontId="8" fillId="10" borderId="1" xfId="2" applyFont="1" applyFill="1" applyBorder="1" applyAlignment="1">
      <alignment horizontal="center" vertical="center" wrapText="1"/>
    </xf>
    <xf numFmtId="166" fontId="8" fillId="10" borderId="1" xfId="1" applyNumberFormat="1" applyFont="1" applyFill="1" applyBorder="1" applyAlignment="1">
      <alignment horizontal="center" vertical="center" wrapText="1"/>
    </xf>
    <xf numFmtId="0" fontId="8" fillId="30" borderId="1" xfId="8" applyFont="1" applyFill="1" applyBorder="1" applyAlignment="1">
      <alignment horizontal="center" vertical="center"/>
    </xf>
    <xf numFmtId="0" fontId="8" fillId="31" borderId="1" xfId="3" applyFont="1" applyFill="1" applyBorder="1" applyAlignment="1">
      <alignment horizontal="center" vertical="center" wrapText="1"/>
    </xf>
    <xf numFmtId="164" fontId="9" fillId="0" borderId="26" xfId="0" applyNumberFormat="1" applyFont="1" applyBorder="1" applyAlignment="1">
      <alignment horizontal="center" vertical="center"/>
    </xf>
    <xf numFmtId="0" fontId="6" fillId="50" borderId="8" xfId="0" applyFont="1" applyFill="1" applyBorder="1" applyAlignment="1">
      <alignment horizontal="center" vertical="center"/>
    </xf>
    <xf numFmtId="193" fontId="0" fillId="11" borderId="1" xfId="0" applyNumberFormat="1" applyFont="1" applyFill="1" applyBorder="1" applyAlignment="1">
      <alignment horizontal="center" vertical="center"/>
    </xf>
    <xf numFmtId="9" fontId="19" fillId="8" borderId="8" xfId="2" applyFont="1" applyFill="1" applyBorder="1" applyAlignment="1">
      <alignment horizontal="center" vertical="center"/>
    </xf>
    <xf numFmtId="9" fontId="8" fillId="33" borderId="8" xfId="2" applyFont="1" applyFill="1" applyBorder="1" applyAlignment="1">
      <alignment horizontal="center" vertical="center"/>
    </xf>
    <xf numFmtId="9" fontId="0" fillId="33" borderId="8" xfId="2" applyFont="1" applyFill="1" applyBorder="1" applyAlignment="1">
      <alignment horizontal="center" vertical="center"/>
    </xf>
    <xf numFmtId="9" fontId="19" fillId="33" borderId="8" xfId="2" applyFont="1" applyFill="1" applyBorder="1" applyAlignment="1">
      <alignment horizontal="center" vertical="center"/>
    </xf>
    <xf numFmtId="164" fontId="19" fillId="44" borderId="26" xfId="0" applyNumberFormat="1" applyFont="1" applyFill="1" applyBorder="1" applyAlignment="1">
      <alignment horizontal="center" vertical="center"/>
    </xf>
    <xf numFmtId="164" fontId="8" fillId="32" borderId="39" xfId="1" applyNumberFormat="1" applyFont="1" applyFill="1" applyBorder="1" applyAlignment="1">
      <alignment horizontal="center" vertical="center"/>
    </xf>
    <xf numFmtId="0" fontId="0" fillId="32" borderId="17" xfId="1" applyNumberFormat="1" applyFont="1" applyFill="1" applyBorder="1" applyAlignment="1">
      <alignment horizontal="center" vertical="center"/>
    </xf>
    <xf numFmtId="3" fontId="8" fillId="39" borderId="8" xfId="0" applyNumberFormat="1" applyFont="1" applyFill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8" fillId="10" borderId="8" xfId="0" applyNumberFormat="1" applyFont="1" applyFill="1" applyBorder="1" applyAlignment="1">
      <alignment horizontal="center" vertical="center"/>
    </xf>
    <xf numFmtId="3" fontId="0" fillId="34" borderId="8" xfId="0" applyNumberFormat="1" applyFont="1" applyFill="1" applyBorder="1" applyAlignment="1">
      <alignment horizontal="center" vertical="center"/>
    </xf>
    <xf numFmtId="164" fontId="9" fillId="8" borderId="39" xfId="1" applyNumberFormat="1" applyFont="1" applyFill="1" applyBorder="1" applyAlignment="1">
      <alignment horizontal="center" vertical="center"/>
    </xf>
    <xf numFmtId="0" fontId="33" fillId="8" borderId="1" xfId="0" applyFont="1" applyFill="1" applyBorder="1" applyAlignment="1">
      <alignment horizontal="center" vertical="center" wrapText="1"/>
    </xf>
    <xf numFmtId="0" fontId="33" fillId="8" borderId="8" xfId="0" applyFont="1" applyFill="1" applyBorder="1" applyAlignment="1">
      <alignment horizontal="center" vertical="center" wrapText="1"/>
    </xf>
    <xf numFmtId="0" fontId="33" fillId="9" borderId="8" xfId="0" applyFont="1" applyFill="1" applyBorder="1" applyAlignment="1">
      <alignment horizontal="center" vertical="center" wrapText="1"/>
    </xf>
    <xf numFmtId="0" fontId="33" fillId="9" borderId="1" xfId="3" applyFont="1" applyFill="1" applyBorder="1" applyAlignment="1">
      <alignment horizontal="center" vertical="center" wrapText="1"/>
    </xf>
    <xf numFmtId="0" fontId="33" fillId="11" borderId="1" xfId="0" applyFont="1" applyFill="1" applyBorder="1" applyAlignment="1">
      <alignment horizontal="center" vertical="center" wrapText="1"/>
    </xf>
    <xf numFmtId="41" fontId="33" fillId="8" borderId="8" xfId="0" applyNumberFormat="1" applyFont="1" applyFill="1" applyBorder="1" applyAlignment="1">
      <alignment horizontal="center" vertical="center" wrapText="1"/>
    </xf>
    <xf numFmtId="9" fontId="33" fillId="8" borderId="8" xfId="2" applyFont="1" applyFill="1" applyBorder="1" applyAlignment="1">
      <alignment horizontal="center" vertical="center" wrapText="1"/>
    </xf>
    <xf numFmtId="0" fontId="33" fillId="34" borderId="8" xfId="1" applyNumberFormat="1" applyFont="1" applyFill="1" applyBorder="1" applyAlignment="1">
      <alignment horizontal="center" vertical="center" wrapText="1"/>
    </xf>
    <xf numFmtId="0" fontId="33" fillId="21" borderId="1" xfId="4" applyFont="1" applyFill="1" applyBorder="1" applyAlignment="1">
      <alignment horizontal="center" vertical="center" wrapText="1"/>
    </xf>
    <xf numFmtId="0" fontId="33" fillId="4" borderId="1" xfId="5" applyFont="1" applyBorder="1" applyAlignment="1">
      <alignment horizontal="center" vertical="center" wrapText="1"/>
    </xf>
    <xf numFmtId="0" fontId="33" fillId="37" borderId="1" xfId="5" applyFont="1" applyFill="1" applyBorder="1" applyAlignment="1">
      <alignment horizontal="center" vertical="center" wrapText="1"/>
    </xf>
    <xf numFmtId="0" fontId="33" fillId="4" borderId="8" xfId="5" applyFont="1" applyBorder="1" applyAlignment="1">
      <alignment horizontal="center" vertical="center" wrapText="1"/>
    </xf>
    <xf numFmtId="0" fontId="33" fillId="6" borderId="1" xfId="7" applyFont="1" applyBorder="1" applyAlignment="1">
      <alignment horizontal="center" vertical="center" wrapText="1"/>
    </xf>
    <xf numFmtId="0" fontId="33" fillId="38" borderId="1" xfId="7" applyFont="1" applyFill="1" applyBorder="1" applyAlignment="1">
      <alignment horizontal="center" vertical="center" wrapText="1"/>
    </xf>
    <xf numFmtId="0" fontId="33" fillId="6" borderId="8" xfId="7" applyFont="1" applyBorder="1" applyAlignment="1">
      <alignment horizontal="center" vertical="center" wrapText="1"/>
    </xf>
    <xf numFmtId="0" fontId="33" fillId="44" borderId="8" xfId="7" applyFont="1" applyFill="1" applyBorder="1" applyAlignment="1">
      <alignment horizontal="center" vertical="center" wrapText="1"/>
    </xf>
    <xf numFmtId="0" fontId="33" fillId="2" borderId="1" xfId="3" applyFont="1" applyBorder="1" applyAlignment="1">
      <alignment horizontal="center" vertical="center" wrapText="1"/>
    </xf>
    <xf numFmtId="43" fontId="33" fillId="2" borderId="1" xfId="3" applyNumberFormat="1" applyFont="1" applyBorder="1" applyAlignment="1">
      <alignment horizontal="center" vertical="center" wrapText="1"/>
    </xf>
    <xf numFmtId="43" fontId="33" fillId="2" borderId="8" xfId="3" applyNumberFormat="1" applyFont="1" applyBorder="1" applyAlignment="1">
      <alignment horizontal="center" vertical="center" wrapText="1"/>
    </xf>
    <xf numFmtId="0" fontId="33" fillId="36" borderId="8" xfId="1" applyNumberFormat="1" applyFont="1" applyFill="1" applyBorder="1" applyAlignment="1">
      <alignment horizontal="center" vertical="center" wrapText="1"/>
    </xf>
    <xf numFmtId="0" fontId="33" fillId="36" borderId="25" xfId="1" applyNumberFormat="1" applyFont="1" applyFill="1" applyBorder="1" applyAlignment="1">
      <alignment horizontal="center" vertical="center" wrapText="1"/>
    </xf>
    <xf numFmtId="0" fontId="33" fillId="36" borderId="17" xfId="1" applyNumberFormat="1" applyFont="1" applyFill="1" applyBorder="1" applyAlignment="1">
      <alignment horizontal="center" vertical="center" wrapText="1"/>
    </xf>
    <xf numFmtId="1" fontId="33" fillId="36" borderId="8" xfId="1" applyNumberFormat="1" applyFont="1" applyFill="1" applyBorder="1" applyAlignment="1">
      <alignment horizontal="center" vertical="center" wrapText="1"/>
    </xf>
    <xf numFmtId="0" fontId="33" fillId="35" borderId="8" xfId="1" applyNumberFormat="1" applyFont="1" applyFill="1" applyBorder="1" applyAlignment="1">
      <alignment horizontal="center" vertical="center" wrapText="1"/>
    </xf>
    <xf numFmtId="0" fontId="33" fillId="35" borderId="8" xfId="1" applyNumberFormat="1" applyFont="1" applyFill="1" applyBorder="1" applyAlignment="1">
      <alignment horizontal="center" vertical="center"/>
    </xf>
    <xf numFmtId="43" fontId="33" fillId="17" borderId="1" xfId="3" applyNumberFormat="1" applyFont="1" applyFill="1" applyBorder="1" applyAlignment="1">
      <alignment horizontal="center" vertical="center" wrapText="1"/>
    </xf>
    <xf numFmtId="3" fontId="33" fillId="10" borderId="1" xfId="1" applyNumberFormat="1" applyFont="1" applyFill="1" applyBorder="1" applyAlignment="1">
      <alignment horizontal="center" vertical="center" wrapText="1"/>
    </xf>
    <xf numFmtId="3" fontId="33" fillId="11" borderId="1" xfId="1" applyNumberFormat="1" applyFont="1" applyFill="1" applyBorder="1" applyAlignment="1">
      <alignment horizontal="center" vertical="center" wrapText="1"/>
    </xf>
    <xf numFmtId="3" fontId="33" fillId="8" borderId="1" xfId="1" applyNumberFormat="1" applyFont="1" applyFill="1" applyBorder="1" applyAlignment="1">
      <alignment horizontal="center" vertical="center" wrapText="1"/>
    </xf>
    <xf numFmtId="3" fontId="33" fillId="18" borderId="1" xfId="1" applyNumberFormat="1" applyFont="1" applyFill="1" applyBorder="1" applyAlignment="1">
      <alignment horizontal="center" vertical="center" wrapText="1"/>
    </xf>
    <xf numFmtId="43" fontId="33" fillId="10" borderId="1" xfId="1" applyFont="1" applyFill="1" applyBorder="1" applyAlignment="1">
      <alignment horizontal="center" vertical="center" wrapText="1"/>
    </xf>
    <xf numFmtId="43" fontId="33" fillId="11" borderId="1" xfId="1" applyFont="1" applyFill="1" applyBorder="1" applyAlignment="1">
      <alignment horizontal="center" vertical="center" wrapText="1"/>
    </xf>
    <xf numFmtId="43" fontId="33" fillId="8" borderId="1" xfId="1" applyFont="1" applyFill="1" applyBorder="1" applyAlignment="1">
      <alignment horizontal="center" vertical="center" wrapText="1"/>
    </xf>
    <xf numFmtId="43" fontId="33" fillId="29" borderId="8" xfId="1" applyFont="1" applyFill="1" applyBorder="1" applyAlignment="1">
      <alignment horizontal="center" vertical="center" wrapText="1"/>
    </xf>
    <xf numFmtId="43" fontId="33" fillId="18" borderId="1" xfId="1" applyFont="1" applyFill="1" applyBorder="1" applyAlignment="1">
      <alignment horizontal="center" vertical="center" wrapText="1"/>
    </xf>
    <xf numFmtId="43" fontId="33" fillId="11" borderId="8" xfId="1" applyFont="1" applyFill="1" applyBorder="1" applyAlignment="1">
      <alignment horizontal="center" vertical="center" wrapText="1"/>
    </xf>
    <xf numFmtId="43" fontId="33" fillId="18" borderId="8" xfId="1" applyFont="1" applyFill="1" applyBorder="1" applyAlignment="1">
      <alignment horizontal="center" vertical="center" wrapText="1"/>
    </xf>
    <xf numFmtId="43" fontId="33" fillId="26" borderId="7" xfId="1" applyFont="1" applyFill="1" applyBorder="1" applyAlignment="1">
      <alignment horizontal="center" vertical="center" wrapText="1"/>
    </xf>
    <xf numFmtId="43" fontId="33" fillId="20" borderId="1" xfId="1" applyFont="1" applyFill="1" applyBorder="1" applyAlignment="1">
      <alignment horizontal="center" vertical="center" wrapText="1"/>
    </xf>
    <xf numFmtId="0" fontId="33" fillId="44" borderId="8" xfId="0" applyFont="1" applyFill="1" applyBorder="1" applyAlignment="1">
      <alignment horizontal="center" vertical="center" wrapText="1"/>
    </xf>
    <xf numFmtId="171" fontId="33" fillId="44" borderId="8" xfId="2" applyNumberFormat="1" applyFont="1" applyFill="1" applyBorder="1" applyAlignment="1">
      <alignment horizontal="center" vertical="center" wrapText="1"/>
    </xf>
    <xf numFmtId="195" fontId="33" fillId="44" borderId="8" xfId="2" applyNumberFormat="1" applyFont="1" applyFill="1" applyBorder="1" applyAlignment="1">
      <alignment horizontal="center" vertical="center" wrapText="1"/>
    </xf>
    <xf numFmtId="172" fontId="33" fillId="44" borderId="8" xfId="2" applyNumberFormat="1" applyFont="1" applyFill="1" applyBorder="1" applyAlignment="1">
      <alignment horizontal="center" vertical="center" wrapText="1"/>
    </xf>
    <xf numFmtId="173" fontId="33" fillId="44" borderId="8" xfId="2" applyNumberFormat="1" applyFont="1" applyFill="1" applyBorder="1" applyAlignment="1">
      <alignment horizontal="center" vertical="center" wrapText="1"/>
    </xf>
    <xf numFmtId="174" fontId="33" fillId="44" borderId="8" xfId="2" applyNumberFormat="1" applyFont="1" applyFill="1" applyBorder="1" applyAlignment="1">
      <alignment horizontal="center" vertical="center" wrapText="1"/>
    </xf>
    <xf numFmtId="175" fontId="33" fillId="44" borderId="8" xfId="2" applyNumberFormat="1" applyFont="1" applyFill="1" applyBorder="1" applyAlignment="1">
      <alignment horizontal="center" vertical="center" wrapText="1"/>
    </xf>
    <xf numFmtId="196" fontId="33" fillId="44" borderId="8" xfId="2" applyNumberFormat="1" applyFont="1" applyFill="1" applyBorder="1" applyAlignment="1">
      <alignment horizontal="center" vertical="center" wrapText="1"/>
    </xf>
    <xf numFmtId="177" fontId="33" fillId="44" borderId="8" xfId="2" applyNumberFormat="1" applyFont="1" applyFill="1" applyBorder="1" applyAlignment="1">
      <alignment horizontal="center" vertical="center" wrapText="1"/>
    </xf>
    <xf numFmtId="178" fontId="33" fillId="44" borderId="8" xfId="2" applyNumberFormat="1" applyFont="1" applyFill="1" applyBorder="1" applyAlignment="1">
      <alignment horizontal="center" vertical="center" wrapText="1"/>
    </xf>
    <xf numFmtId="179" fontId="33" fillId="44" borderId="8" xfId="2" applyNumberFormat="1" applyFont="1" applyFill="1" applyBorder="1" applyAlignment="1">
      <alignment horizontal="center" vertical="center" wrapText="1"/>
    </xf>
    <xf numFmtId="180" fontId="33" fillId="44" borderId="8" xfId="2" applyNumberFormat="1" applyFont="1" applyFill="1" applyBorder="1" applyAlignment="1">
      <alignment horizontal="center" vertical="center" wrapText="1"/>
    </xf>
    <xf numFmtId="181" fontId="33" fillId="44" borderId="8" xfId="2" applyNumberFormat="1" applyFont="1" applyFill="1" applyBorder="1" applyAlignment="1">
      <alignment horizontal="center" vertical="center" wrapText="1"/>
    </xf>
    <xf numFmtId="192" fontId="33" fillId="44" borderId="8" xfId="2" applyNumberFormat="1" applyFont="1" applyFill="1" applyBorder="1" applyAlignment="1">
      <alignment horizontal="center" vertical="center" wrapText="1"/>
    </xf>
    <xf numFmtId="194" fontId="33" fillId="44" borderId="8" xfId="2" applyNumberFormat="1" applyFont="1" applyFill="1" applyBorder="1" applyAlignment="1">
      <alignment horizontal="center" vertical="center" wrapText="1"/>
    </xf>
    <xf numFmtId="197" fontId="33" fillId="44" borderId="8" xfId="2" applyNumberFormat="1" applyFont="1" applyFill="1" applyBorder="1" applyAlignment="1">
      <alignment horizontal="center" vertical="center" wrapText="1"/>
    </xf>
    <xf numFmtId="198" fontId="33" fillId="44" borderId="8" xfId="2" applyNumberFormat="1" applyFont="1" applyFill="1" applyBorder="1" applyAlignment="1">
      <alignment horizontal="center" vertical="center" wrapText="1"/>
    </xf>
    <xf numFmtId="199" fontId="33" fillId="44" borderId="8" xfId="2" applyNumberFormat="1" applyFont="1" applyFill="1" applyBorder="1" applyAlignment="1">
      <alignment horizontal="center" vertical="center" wrapText="1"/>
    </xf>
    <xf numFmtId="0" fontId="34" fillId="50" borderId="0" xfId="10" applyFont="1" applyFill="1" applyAlignment="1">
      <alignment horizontal="center" vertical="center" wrapText="1"/>
    </xf>
    <xf numFmtId="0" fontId="35" fillId="50" borderId="0" xfId="10" applyFont="1" applyFill="1" applyAlignment="1">
      <alignment horizontal="center" vertical="center" wrapText="1"/>
    </xf>
    <xf numFmtId="0" fontId="34" fillId="58" borderId="0" xfId="10" applyFont="1" applyFill="1" applyAlignment="1">
      <alignment horizontal="center" vertical="center" wrapText="1"/>
    </xf>
    <xf numFmtId="0" fontId="34" fillId="11" borderId="0" xfId="10" applyFont="1" applyFill="1" applyAlignment="1">
      <alignment horizontal="center" vertical="center" wrapText="1"/>
    </xf>
    <xf numFmtId="0" fontId="34" fillId="34" borderId="0" xfId="10" applyFont="1" applyFill="1" applyAlignment="1">
      <alignment horizontal="center" vertical="center" wrapText="1"/>
    </xf>
    <xf numFmtId="0" fontId="34" fillId="55" borderId="0" xfId="10" applyFont="1" applyFill="1" applyAlignment="1">
      <alignment horizontal="center" vertical="center" wrapText="1"/>
    </xf>
    <xf numFmtId="0" fontId="33" fillId="8" borderId="0" xfId="0" applyFont="1" applyFill="1" applyAlignment="1">
      <alignment horizontal="center" vertical="center" wrapText="1"/>
    </xf>
    <xf numFmtId="1" fontId="23" fillId="59" borderId="8" xfId="0" applyNumberFormat="1" applyFont="1" applyFill="1" applyBorder="1" applyAlignment="1">
      <alignment horizontal="center" vertical="center"/>
    </xf>
    <xf numFmtId="164" fontId="38" fillId="32" borderId="15" xfId="0" applyNumberFormat="1" applyFont="1" applyFill="1" applyBorder="1" applyAlignment="1">
      <alignment horizontal="center" vertical="center"/>
    </xf>
    <xf numFmtId="164" fontId="38" fillId="32" borderId="8" xfId="0" applyNumberFormat="1" applyFont="1" applyFill="1" applyBorder="1" applyAlignment="1">
      <alignment horizontal="center" vertical="center"/>
    </xf>
    <xf numFmtId="1" fontId="38" fillId="59" borderId="8" xfId="0" applyNumberFormat="1" applyFont="1" applyFill="1" applyBorder="1" applyAlignment="1">
      <alignment horizontal="center" vertical="center"/>
    </xf>
    <xf numFmtId="164" fontId="9" fillId="12" borderId="8" xfId="0" applyNumberFormat="1" applyFont="1" applyFill="1" applyBorder="1" applyAlignment="1">
      <alignment horizontal="center" vertical="center"/>
    </xf>
    <xf numFmtId="3" fontId="0" fillId="12" borderId="8" xfId="0" applyNumberFormat="1" applyFont="1" applyFill="1" applyBorder="1" applyAlignment="1">
      <alignment horizontal="center" vertical="center"/>
    </xf>
    <xf numFmtId="1" fontId="23" fillId="61" borderId="8" xfId="0" applyNumberFormat="1" applyFont="1" applyFill="1" applyBorder="1" applyAlignment="1">
      <alignment horizontal="center" vertical="center"/>
    </xf>
    <xf numFmtId="1" fontId="38" fillId="61" borderId="8" xfId="0" applyNumberFormat="1" applyFont="1" applyFill="1" applyBorder="1" applyAlignment="1">
      <alignment horizontal="center" vertical="center"/>
    </xf>
    <xf numFmtId="1" fontId="0" fillId="12" borderId="8" xfId="0" applyNumberFormat="1" applyFont="1" applyFill="1" applyBorder="1" applyAlignment="1">
      <alignment horizontal="center" vertical="center"/>
    </xf>
    <xf numFmtId="176" fontId="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3" fontId="9" fillId="12" borderId="8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164" fontId="0" fillId="12" borderId="16" xfId="0" applyNumberFormat="1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14" fontId="39" fillId="12" borderId="8" xfId="10" applyNumberFormat="1" applyFont="1" applyFill="1" applyBorder="1" applyAlignment="1">
      <alignment horizontal="center" vertical="center" wrapText="1"/>
    </xf>
    <xf numFmtId="164" fontId="9" fillId="43" borderId="8" xfId="0" applyNumberFormat="1" applyFont="1" applyFill="1" applyBorder="1" applyAlignment="1">
      <alignment horizontal="center" vertical="center"/>
    </xf>
    <xf numFmtId="0" fontId="0" fillId="43" borderId="8" xfId="0" applyFont="1" applyFill="1" applyBorder="1" applyAlignment="1">
      <alignment horizontal="center" vertical="center"/>
    </xf>
    <xf numFmtId="0" fontId="6" fillId="43" borderId="8" xfId="0" applyFont="1" applyFill="1" applyBorder="1" applyAlignment="1">
      <alignment horizontal="center" vertical="center"/>
    </xf>
    <xf numFmtId="164" fontId="0" fillId="43" borderId="8" xfId="0" applyNumberFormat="1" applyFont="1" applyFill="1" applyBorder="1" applyAlignment="1">
      <alignment horizontal="center" vertical="center"/>
    </xf>
    <xf numFmtId="3" fontId="0" fillId="43" borderId="8" xfId="0" applyNumberFormat="1" applyFont="1" applyFill="1" applyBorder="1" applyAlignment="1">
      <alignment horizontal="center" vertical="center"/>
    </xf>
    <xf numFmtId="1" fontId="23" fillId="62" borderId="8" xfId="0" applyNumberFormat="1" applyFont="1" applyFill="1" applyBorder="1" applyAlignment="1">
      <alignment horizontal="center" vertical="center"/>
    </xf>
    <xf numFmtId="1" fontId="0" fillId="43" borderId="8" xfId="0" applyNumberFormat="1" applyFont="1" applyFill="1" applyBorder="1" applyAlignment="1">
      <alignment horizontal="center" vertical="center"/>
    </xf>
    <xf numFmtId="1" fontId="6" fillId="43" borderId="8" xfId="0" applyNumberFormat="1" applyFont="1" applyFill="1" applyBorder="1" applyAlignment="1">
      <alignment horizontal="center" vertical="center"/>
    </xf>
    <xf numFmtId="3" fontId="9" fillId="43" borderId="8" xfId="0" applyNumberFormat="1" applyFont="1" applyFill="1" applyBorder="1" applyAlignment="1">
      <alignment horizontal="center" vertical="center"/>
    </xf>
    <xf numFmtId="164" fontId="8" fillId="43" borderId="8" xfId="0" applyNumberFormat="1" applyFont="1" applyFill="1" applyBorder="1" applyAlignment="1">
      <alignment horizontal="center" vertical="center"/>
    </xf>
    <xf numFmtId="3" fontId="8" fillId="43" borderId="8" xfId="0" applyNumberFormat="1" applyFont="1" applyFill="1" applyBorder="1" applyAlignment="1">
      <alignment horizontal="center" vertical="center"/>
    </xf>
    <xf numFmtId="1" fontId="23" fillId="32" borderId="8" xfId="0" applyNumberFormat="1" applyFont="1" applyFill="1" applyBorder="1" applyAlignment="1">
      <alignment horizontal="center" vertical="center"/>
    </xf>
    <xf numFmtId="164" fontId="0" fillId="12" borderId="15" xfId="0" applyNumberFormat="1" applyFont="1" applyFill="1" applyBorder="1" applyAlignment="1">
      <alignment horizontal="center" vertical="center"/>
    </xf>
    <xf numFmtId="0" fontId="0" fillId="60" borderId="8" xfId="0" applyFont="1" applyFill="1" applyBorder="1" applyAlignment="1">
      <alignment horizontal="center" vertical="center"/>
    </xf>
    <xf numFmtId="0" fontId="0" fillId="23" borderId="8" xfId="0" applyFont="1" applyFill="1" applyBorder="1" applyAlignment="1">
      <alignment horizontal="center" vertical="center"/>
    </xf>
    <xf numFmtId="3" fontId="36" fillId="23" borderId="8" xfId="10" applyNumberFormat="1" applyFont="1" applyFill="1" applyBorder="1" applyAlignment="1">
      <alignment horizontal="center" vertical="center" wrapText="1"/>
    </xf>
    <xf numFmtId="3" fontId="36" fillId="23" borderId="8" xfId="10" applyNumberFormat="1" applyFont="1" applyFill="1" applyBorder="1" applyAlignment="1">
      <alignment horizontal="right" vertical="center" wrapText="1"/>
    </xf>
    <xf numFmtId="3" fontId="0" fillId="60" borderId="8" xfId="0" applyNumberFormat="1" applyFont="1" applyFill="1" applyBorder="1" applyAlignment="1">
      <alignment horizontal="center" vertical="center"/>
    </xf>
    <xf numFmtId="176" fontId="0" fillId="60" borderId="8" xfId="0" applyNumberFormat="1" applyFont="1" applyFill="1" applyBorder="1" applyAlignment="1">
      <alignment horizontal="center" vertical="center"/>
    </xf>
    <xf numFmtId="3" fontId="0" fillId="23" borderId="8" xfId="0" applyNumberFormat="1" applyFont="1" applyFill="1" applyBorder="1" applyAlignment="1">
      <alignment horizontal="center" vertical="center"/>
    </xf>
    <xf numFmtId="0" fontId="0" fillId="23" borderId="16" xfId="0" applyFont="1" applyFill="1" applyBorder="1" applyAlignment="1">
      <alignment horizontal="center" vertical="center"/>
    </xf>
    <xf numFmtId="164" fontId="35" fillId="50" borderId="0" xfId="10" applyNumberFormat="1" applyFont="1" applyFill="1" applyAlignment="1">
      <alignment horizontal="center" vertical="center" wrapText="1"/>
    </xf>
    <xf numFmtId="164" fontId="34" fillId="50" borderId="0" xfId="10" applyNumberFormat="1" applyFont="1" applyFill="1" applyAlignment="1">
      <alignment horizontal="center" vertical="center" wrapText="1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4" fontId="40" fillId="50" borderId="0" xfId="10" applyNumberFormat="1" applyFont="1" applyFill="1" applyAlignment="1">
      <alignment horizontal="center" vertical="center" wrapText="1"/>
    </xf>
    <xf numFmtId="164" fontId="41" fillId="50" borderId="0" xfId="10" applyNumberFormat="1" applyFont="1" applyFill="1" applyAlignment="1">
      <alignment horizontal="center" vertical="center" wrapText="1"/>
    </xf>
    <xf numFmtId="164" fontId="34" fillId="11" borderId="0" xfId="10" applyNumberFormat="1" applyFont="1" applyFill="1" applyAlignment="1">
      <alignment horizontal="center" vertical="center" wrapText="1"/>
    </xf>
    <xf numFmtId="164" fontId="35" fillId="11" borderId="0" xfId="10" applyNumberFormat="1" applyFont="1" applyFill="1" applyAlignment="1">
      <alignment horizontal="center" vertical="center" wrapText="1"/>
    </xf>
    <xf numFmtId="164" fontId="13" fillId="12" borderId="8" xfId="0" applyNumberFormat="1" applyFont="1" applyFill="1" applyBorder="1" applyAlignment="1">
      <alignment horizontal="center" vertical="center"/>
    </xf>
    <xf numFmtId="164" fontId="5" fillId="8" borderId="0" xfId="0" applyNumberFormat="1" applyFont="1" applyFill="1" applyAlignment="1">
      <alignment horizontal="center" vertical="center" wrapText="1"/>
    </xf>
    <xf numFmtId="0" fontId="0" fillId="23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0" fillId="32" borderId="15" xfId="0" applyNumberFormat="1" applyFont="1" applyFill="1" applyBorder="1" applyAlignment="1">
      <alignment horizontal="center" vertical="center"/>
    </xf>
    <xf numFmtId="1" fontId="38" fillId="32" borderId="8" xfId="0" applyNumberFormat="1" applyFont="1" applyFill="1" applyBorder="1" applyAlignment="1">
      <alignment horizontal="center" vertical="center"/>
    </xf>
    <xf numFmtId="1" fontId="6" fillId="32" borderId="8" xfId="0" applyNumberFormat="1" applyFont="1" applyFill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164" fontId="0" fillId="32" borderId="16" xfId="0" applyNumberFormat="1" applyFont="1" applyFill="1" applyBorder="1" applyAlignment="1">
      <alignment horizontal="center" vertical="center"/>
    </xf>
    <xf numFmtId="176" fontId="0" fillId="32" borderId="8" xfId="0" applyNumberFormat="1" applyFont="1" applyFill="1" applyBorder="1" applyAlignment="1">
      <alignment horizontal="center" vertical="center"/>
    </xf>
    <xf numFmtId="164" fontId="9" fillId="8" borderId="15" xfId="1" applyNumberFormat="1" applyFont="1" applyFill="1" applyBorder="1" applyAlignment="1">
      <alignment horizontal="center" vertical="center"/>
    </xf>
    <xf numFmtId="169" fontId="9" fillId="8" borderId="15" xfId="1" applyNumberFormat="1" applyFont="1" applyFill="1" applyBorder="1" applyAlignment="1">
      <alignment horizontal="center" vertical="center"/>
    </xf>
    <xf numFmtId="164" fontId="8" fillId="33" borderId="39" xfId="1" applyNumberFormat="1" applyFont="1" applyFill="1" applyBorder="1" applyAlignment="1">
      <alignment horizontal="center" vertical="center"/>
    </xf>
    <xf numFmtId="169" fontId="9" fillId="8" borderId="39" xfId="1" applyNumberFormat="1" applyFont="1" applyFill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43" fontId="5" fillId="17" borderId="8" xfId="3" applyNumberFormat="1" applyFont="1" applyFill="1" applyBorder="1" applyAlignment="1">
      <alignment horizontal="center" vertical="center" wrapText="1"/>
    </xf>
    <xf numFmtId="3" fontId="0" fillId="23" borderId="8" xfId="0" applyNumberFormat="1" applyFont="1" applyFill="1" applyBorder="1" applyAlignment="1">
      <alignment horizontal="center" vertical="center" wrapText="1"/>
    </xf>
    <xf numFmtId="0" fontId="0" fillId="23" borderId="1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43" fontId="8" fillId="32" borderId="1" xfId="3" applyNumberFormat="1" applyFont="1" applyFill="1" applyBorder="1" applyAlignment="1">
      <alignment horizontal="center" vertical="center" wrapText="1"/>
    </xf>
    <xf numFmtId="14" fontId="8" fillId="32" borderId="1" xfId="3" applyNumberFormat="1" applyFont="1" applyFill="1" applyBorder="1" applyAlignment="1">
      <alignment horizontal="center" vertical="center" wrapText="1"/>
    </xf>
    <xf numFmtId="164" fontId="39" fillId="12" borderId="15" xfId="10" applyNumberFormat="1" applyFont="1" applyFill="1" applyBorder="1" applyAlignment="1">
      <alignment horizontal="center" vertical="center" wrapText="1"/>
    </xf>
    <xf numFmtId="3" fontId="34" fillId="34" borderId="0" xfId="10" applyNumberFormat="1" applyFont="1" applyFill="1" applyAlignment="1">
      <alignment horizontal="center" vertical="center" wrapText="1"/>
    </xf>
    <xf numFmtId="3" fontId="0" fillId="44" borderId="8" xfId="0" applyNumberFormat="1" applyFont="1" applyFill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0" fillId="0" borderId="0" xfId="1" applyNumberFormat="1" applyFont="1"/>
    <xf numFmtId="3" fontId="0" fillId="60" borderId="8" xfId="0" applyNumberFormat="1" applyFont="1" applyFill="1" applyBorder="1" applyAlignment="1">
      <alignment horizontal="center" vertical="center" wrapText="1"/>
    </xf>
    <xf numFmtId="164" fontId="8" fillId="33" borderId="26" xfId="1" applyNumberFormat="1" applyFont="1" applyFill="1" applyBorder="1" applyAlignment="1">
      <alignment horizontal="center" vertical="center" wrapText="1"/>
    </xf>
    <xf numFmtId="164" fontId="8" fillId="32" borderId="15" xfId="1" applyNumberFormat="1" applyFont="1" applyFill="1" applyBorder="1" applyAlignment="1">
      <alignment horizontal="center" vertical="center"/>
    </xf>
    <xf numFmtId="0" fontId="8" fillId="32" borderId="17" xfId="1" applyNumberFormat="1" applyFont="1" applyFill="1" applyBorder="1" applyAlignment="1">
      <alignment horizontal="center" vertical="center" wrapText="1"/>
    </xf>
    <xf numFmtId="1" fontId="33" fillId="2" borderId="8" xfId="3" applyNumberFormat="1" applyFont="1" applyBorder="1" applyAlignment="1">
      <alignment horizontal="center" vertical="center" wrapText="1"/>
    </xf>
    <xf numFmtId="1" fontId="8" fillId="8" borderId="0" xfId="3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8" fillId="2" borderId="8" xfId="3" applyNumberFormat="1" applyFont="1" applyBorder="1" applyAlignment="1">
      <alignment horizontal="center" vertical="center" wrapText="1"/>
    </xf>
    <xf numFmtId="2" fontId="8" fillId="32" borderId="8" xfId="3" applyNumberFormat="1" applyFont="1" applyFill="1" applyBorder="1" applyAlignment="1">
      <alignment horizontal="center" vertical="center" wrapText="1"/>
    </xf>
    <xf numFmtId="166" fontId="8" fillId="15" borderId="1" xfId="1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/>
    <xf numFmtId="165" fontId="7" fillId="11" borderId="1" xfId="0" applyNumberFormat="1" applyFont="1" applyFill="1" applyBorder="1" applyAlignment="1">
      <alignment horizontal="center" vertical="center"/>
    </xf>
    <xf numFmtId="164" fontId="0" fillId="32" borderId="15" xfId="1" applyNumberFormat="1" applyFont="1" applyFill="1" applyBorder="1" applyAlignment="1">
      <alignment horizontal="center" vertical="center"/>
    </xf>
    <xf numFmtId="164" fontId="9" fillId="0" borderId="26" xfId="1" applyNumberFormat="1" applyFont="1" applyFill="1" applyBorder="1" applyAlignment="1">
      <alignment horizontal="center" vertical="center"/>
    </xf>
    <xf numFmtId="0" fontId="9" fillId="0" borderId="17" xfId="1" applyNumberFormat="1" applyFont="1" applyFill="1" applyBorder="1" applyAlignment="1">
      <alignment horizontal="center" vertical="center"/>
    </xf>
    <xf numFmtId="164" fontId="39" fillId="12" borderId="8" xfId="10" applyNumberFormat="1" applyFont="1" applyFill="1" applyBorder="1" applyAlignment="1">
      <alignment horizontal="center" vertical="center" wrapText="1"/>
    </xf>
    <xf numFmtId="165" fontId="0" fillId="54" borderId="8" xfId="0" applyNumberFormat="1" applyFont="1" applyFill="1" applyBorder="1" applyAlignment="1">
      <alignment horizontal="center" vertical="center"/>
    </xf>
    <xf numFmtId="3" fontId="8" fillId="10" borderId="8" xfId="2" applyNumberFormat="1" applyFont="1" applyFill="1" applyBorder="1" applyAlignment="1">
      <alignment horizontal="center" vertical="center" wrapText="1"/>
    </xf>
    <xf numFmtId="193" fontId="0" fillId="12" borderId="8" xfId="0" applyNumberFormat="1" applyFont="1" applyFill="1" applyBorder="1" applyAlignment="1">
      <alignment horizontal="center" vertical="center"/>
    </xf>
    <xf numFmtId="164" fontId="0" fillId="32" borderId="39" xfId="0" applyNumberFormat="1" applyFont="1" applyFill="1" applyBorder="1" applyAlignment="1">
      <alignment horizontal="center" vertical="center"/>
    </xf>
    <xf numFmtId="164" fontId="0" fillId="32" borderId="39" xfId="1" applyNumberFormat="1" applyFont="1" applyFill="1" applyBorder="1" applyAlignment="1">
      <alignment horizontal="center" vertical="center"/>
    </xf>
    <xf numFmtId="164" fontId="8" fillId="33" borderId="39" xfId="1" applyNumberFormat="1" applyFont="1" applyFill="1" applyBorder="1" applyAlignment="1">
      <alignment horizontal="center" vertical="center" wrapText="1"/>
    </xf>
    <xf numFmtId="164" fontId="8" fillId="32" borderId="39" xfId="0" applyNumberFormat="1" applyFont="1" applyFill="1" applyBorder="1" applyAlignment="1">
      <alignment horizontal="center" vertical="center"/>
    </xf>
    <xf numFmtId="164" fontId="19" fillId="8" borderId="39" xfId="0" applyNumberFormat="1" applyFont="1" applyFill="1" applyBorder="1" applyAlignment="1">
      <alignment horizontal="center" vertical="center"/>
    </xf>
    <xf numFmtId="0" fontId="33" fillId="36" borderId="15" xfId="1" applyNumberFormat="1" applyFont="1" applyFill="1" applyBorder="1" applyAlignment="1">
      <alignment horizontal="center" vertical="center" wrapText="1"/>
    </xf>
    <xf numFmtId="164" fontId="8" fillId="32" borderId="15" xfId="1" applyNumberFormat="1" applyFont="1" applyFill="1" applyBorder="1" applyAlignment="1">
      <alignment horizontal="center" vertical="center" wrapText="1"/>
    </xf>
    <xf numFmtId="164" fontId="8" fillId="33" borderId="15" xfId="1" applyNumberFormat="1" applyFont="1" applyFill="1" applyBorder="1" applyAlignment="1">
      <alignment horizontal="center" vertical="center"/>
    </xf>
    <xf numFmtId="164" fontId="8" fillId="32" borderId="42" xfId="1" applyNumberFormat="1" applyFont="1" applyFill="1" applyBorder="1" applyAlignment="1">
      <alignment horizontal="center" vertical="center"/>
    </xf>
    <xf numFmtId="0" fontId="8" fillId="33" borderId="17" xfId="1" applyNumberFormat="1" applyFont="1" applyFill="1" applyBorder="1" applyAlignment="1">
      <alignment horizontal="center" vertical="center"/>
    </xf>
    <xf numFmtId="0" fontId="33" fillId="36" borderId="26" xfId="1" applyNumberFormat="1" applyFont="1" applyFill="1" applyBorder="1" applyAlignment="1">
      <alignment horizontal="center" vertical="center" wrapText="1"/>
    </xf>
    <xf numFmtId="164" fontId="8" fillId="32" borderId="26" xfId="1" applyNumberFormat="1" applyFont="1" applyFill="1" applyBorder="1" applyAlignment="1">
      <alignment horizontal="center" vertical="center" wrapText="1"/>
    </xf>
    <xf numFmtId="0" fontId="33" fillId="36" borderId="38" xfId="1" applyNumberFormat="1" applyFont="1" applyFill="1" applyBorder="1" applyAlignment="1">
      <alignment horizontal="center" vertical="center" wrapText="1"/>
    </xf>
    <xf numFmtId="43" fontId="8" fillId="39" borderId="8" xfId="3" applyNumberFormat="1" applyFont="1" applyFill="1" applyBorder="1" applyAlignment="1">
      <alignment horizontal="center" vertical="center" wrapText="1"/>
    </xf>
    <xf numFmtId="164" fontId="8" fillId="33" borderId="42" xfId="1" applyNumberFormat="1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 wrapText="1"/>
    </xf>
    <xf numFmtId="0" fontId="8" fillId="32" borderId="1" xfId="3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8" fillId="0" borderId="11" xfId="0" applyFont="1" applyBorder="1"/>
    <xf numFmtId="3" fontId="8" fillId="0" borderId="0" xfId="0" applyNumberFormat="1" applyFont="1" applyBorder="1" applyAlignment="1">
      <alignment horizontal="center"/>
    </xf>
    <xf numFmtId="166" fontId="0" fillId="0" borderId="0" xfId="1" applyNumberFormat="1" applyFont="1" applyBorder="1"/>
    <xf numFmtId="3" fontId="0" fillId="32" borderId="8" xfId="0" applyNumberFormat="1" applyFont="1" applyFill="1" applyBorder="1" applyAlignment="1">
      <alignment horizontal="center" vertical="center" wrapText="1"/>
    </xf>
    <xf numFmtId="1" fontId="0" fillId="9" borderId="1" xfId="2" applyNumberFormat="1" applyFont="1" applyFill="1" applyBorder="1" applyAlignment="1">
      <alignment horizontal="center" vertical="center"/>
    </xf>
    <xf numFmtId="166" fontId="33" fillId="8" borderId="8" xfId="1" applyNumberFormat="1" applyFont="1" applyFill="1" applyBorder="1" applyAlignment="1">
      <alignment horizontal="center" vertical="center" wrapText="1"/>
    </xf>
    <xf numFmtId="166" fontId="8" fillId="8" borderId="8" xfId="1" applyNumberFormat="1" applyFont="1" applyFill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166" fontId="8" fillId="8" borderId="8" xfId="1" applyNumberFormat="1" applyFont="1" applyFill="1" applyBorder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/>
    </xf>
    <xf numFmtId="166" fontId="9" fillId="8" borderId="8" xfId="1" applyNumberFormat="1" applyFont="1" applyFill="1" applyBorder="1" applyAlignment="1">
      <alignment horizontal="center" vertical="center"/>
    </xf>
    <xf numFmtId="165" fontId="8" fillId="16" borderId="1" xfId="5" applyNumberFormat="1" applyFont="1" applyFill="1" applyBorder="1" applyAlignment="1">
      <alignment horizontal="center" vertical="center"/>
    </xf>
    <xf numFmtId="14" fontId="9" fillId="8" borderId="39" xfId="1" applyNumberFormat="1" applyFont="1" applyFill="1" applyBorder="1" applyAlignment="1">
      <alignment horizontal="center" vertical="center"/>
    </xf>
    <xf numFmtId="164" fontId="8" fillId="32" borderId="15" xfId="0" applyNumberFormat="1" applyFont="1" applyFill="1" applyBorder="1" applyAlignment="1">
      <alignment horizontal="center" vertical="center"/>
    </xf>
    <xf numFmtId="1" fontId="39" fillId="59" borderId="8" xfId="0" applyNumberFormat="1" applyFont="1" applyFill="1" applyBorder="1" applyAlignment="1">
      <alignment horizontal="center" vertical="center"/>
    </xf>
    <xf numFmtId="164" fontId="8" fillId="32" borderId="8" xfId="2" applyNumberFormat="1" applyFont="1" applyFill="1" applyBorder="1" applyAlignment="1">
      <alignment horizontal="center" vertical="center"/>
    </xf>
    <xf numFmtId="164" fontId="9" fillId="8" borderId="39" xfId="0" applyNumberFormat="1" applyFont="1" applyFill="1" applyBorder="1" applyAlignment="1">
      <alignment horizontal="center" vertical="center"/>
    </xf>
    <xf numFmtId="164" fontId="8" fillId="14" borderId="1" xfId="6" applyNumberFormat="1" applyFont="1" applyFill="1" applyBorder="1" applyAlignment="1">
      <alignment horizontal="center" vertical="center"/>
    </xf>
    <xf numFmtId="3" fontId="8" fillId="8" borderId="15" xfId="1" applyNumberFormat="1" applyFont="1" applyFill="1" applyBorder="1" applyAlignment="1">
      <alignment horizontal="center" vertical="center"/>
    </xf>
    <xf numFmtId="41" fontId="9" fillId="8" borderId="8" xfId="0" applyNumberFormat="1" applyFont="1" applyFill="1" applyBorder="1" applyAlignment="1">
      <alignment horizontal="center" vertical="center"/>
    </xf>
    <xf numFmtId="0" fontId="8" fillId="39" borderId="8" xfId="3" applyFont="1" applyFill="1" applyBorder="1" applyAlignment="1">
      <alignment horizontal="center" vertical="center" wrapText="1"/>
    </xf>
    <xf numFmtId="164" fontId="8" fillId="33" borderId="42" xfId="1" applyNumberFormat="1" applyFont="1" applyFill="1" applyBorder="1" applyAlignment="1">
      <alignment horizontal="center" vertical="center"/>
    </xf>
    <xf numFmtId="3" fontId="36" fillId="23" borderId="16" xfId="10" applyNumberFormat="1" applyFont="1" applyFill="1" applyBorder="1" applyAlignment="1">
      <alignment horizontal="center" vertical="center" wrapText="1"/>
    </xf>
    <xf numFmtId="3" fontId="36" fillId="23" borderId="16" xfId="10" applyNumberFormat="1" applyFont="1" applyFill="1" applyBorder="1" applyAlignment="1">
      <alignment horizontal="right" vertical="center" wrapText="1"/>
    </xf>
    <xf numFmtId="43" fontId="0" fillId="10" borderId="8" xfId="1" applyFont="1" applyFill="1" applyBorder="1" applyAlignment="1">
      <alignment horizontal="center" vertical="center"/>
    </xf>
    <xf numFmtId="43" fontId="8" fillId="10" borderId="8" xfId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43" fontId="8" fillId="32" borderId="8" xfId="3" applyNumberFormat="1" applyFont="1" applyFill="1" applyBorder="1" applyAlignment="1">
      <alignment horizontal="center" vertical="center" wrapText="1"/>
    </xf>
    <xf numFmtId="0" fontId="6" fillId="41" borderId="1" xfId="0" applyFont="1" applyFill="1" applyBorder="1" applyAlignment="1">
      <alignment horizontal="center" vertical="center"/>
    </xf>
    <xf numFmtId="0" fontId="8" fillId="44" borderId="8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0" fontId="8" fillId="30" borderId="8" xfId="8" applyFont="1" applyFill="1" applyBorder="1" applyAlignment="1">
      <alignment horizontal="center" vertical="center"/>
    </xf>
    <xf numFmtId="0" fontId="0" fillId="32" borderId="1" xfId="0" applyFont="1" applyFill="1" applyBorder="1" applyAlignment="1">
      <alignment horizontal="center" vertical="center"/>
    </xf>
    <xf numFmtId="0" fontId="8" fillId="38" borderId="8" xfId="7" applyFont="1" applyFill="1" applyBorder="1" applyAlignment="1">
      <alignment horizontal="center" vertical="center"/>
    </xf>
    <xf numFmtId="14" fontId="8" fillId="39" borderId="1" xfId="3" applyNumberFormat="1" applyFont="1" applyFill="1" applyBorder="1" applyAlignment="1">
      <alignment horizontal="center" vertical="center" wrapText="1"/>
    </xf>
    <xf numFmtId="165" fontId="0" fillId="54" borderId="1" xfId="0" applyNumberFormat="1" applyFont="1" applyFill="1" applyBorder="1" applyAlignment="1">
      <alignment horizontal="center" vertical="center"/>
    </xf>
    <xf numFmtId="43" fontId="0" fillId="14" borderId="1" xfId="1" applyFont="1" applyFill="1" applyBorder="1" applyAlignment="1">
      <alignment horizontal="center" vertical="center"/>
    </xf>
    <xf numFmtId="193" fontId="8" fillId="12" borderId="8" xfId="0" applyNumberFormat="1" applyFont="1" applyFill="1" applyBorder="1" applyAlignment="1">
      <alignment horizontal="center" vertical="center"/>
    </xf>
    <xf numFmtId="4" fontId="8" fillId="14" borderId="7" xfId="0" applyNumberFormat="1" applyFont="1" applyFill="1" applyBorder="1" applyAlignment="1">
      <alignment horizontal="center" vertical="center"/>
    </xf>
    <xf numFmtId="165" fontId="6" fillId="11" borderId="8" xfId="0" applyNumberFormat="1" applyFont="1" applyFill="1" applyBorder="1" applyAlignment="1">
      <alignment horizontal="center" vertical="center"/>
    </xf>
    <xf numFmtId="164" fontId="8" fillId="33" borderId="15" xfId="0" applyNumberFormat="1" applyFont="1" applyFill="1" applyBorder="1" applyAlignment="1">
      <alignment horizontal="center" vertical="center"/>
    </xf>
    <xf numFmtId="169" fontId="8" fillId="33" borderId="39" xfId="1" applyNumberFormat="1" applyFont="1" applyFill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 wrapText="1"/>
    </xf>
    <xf numFmtId="0" fontId="8" fillId="31" borderId="8" xfId="3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 wrapText="1"/>
    </xf>
    <xf numFmtId="166" fontId="0" fillId="33" borderId="8" xfId="1" applyNumberFormat="1" applyFont="1" applyFill="1" applyBorder="1" applyAlignment="1">
      <alignment horizontal="center" vertical="center"/>
    </xf>
    <xf numFmtId="3" fontId="5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14" fontId="9" fillId="12" borderId="8" xfId="0" applyNumberFormat="1" applyFont="1" applyFill="1" applyBorder="1" applyAlignment="1">
      <alignment horizontal="center" vertical="center"/>
    </xf>
    <xf numFmtId="14" fontId="8" fillId="32" borderId="8" xfId="1" applyNumberFormat="1" applyFont="1" applyFill="1" applyBorder="1" applyAlignment="1">
      <alignment horizontal="center" vertical="center"/>
    </xf>
    <xf numFmtId="166" fontId="6" fillId="32" borderId="8" xfId="1" applyNumberFormat="1" applyFont="1" applyFill="1" applyBorder="1" applyAlignment="1">
      <alignment horizontal="center" vertical="center"/>
    </xf>
    <xf numFmtId="2" fontId="8" fillId="32" borderId="39" xfId="0" applyNumberFormat="1" applyFont="1" applyFill="1" applyBorder="1" applyAlignment="1">
      <alignment horizontal="center" vertical="center"/>
    </xf>
    <xf numFmtId="2" fontId="8" fillId="32" borderId="39" xfId="1" applyNumberFormat="1" applyFont="1" applyFill="1" applyBorder="1" applyAlignment="1">
      <alignment horizontal="center" vertical="center"/>
    </xf>
    <xf numFmtId="2" fontId="9" fillId="0" borderId="39" xfId="1" applyNumberFormat="1" applyFont="1" applyFill="1" applyBorder="1" applyAlignment="1">
      <alignment horizontal="center" vertical="center"/>
    </xf>
    <xf numFmtId="14" fontId="8" fillId="33" borderId="39" xfId="0" applyNumberFormat="1" applyFont="1" applyFill="1" applyBorder="1" applyAlignment="1">
      <alignment horizontal="center" vertical="center" wrapText="1"/>
    </xf>
    <xf numFmtId="14" fontId="8" fillId="32" borderId="39" xfId="1" applyNumberFormat="1" applyFont="1" applyFill="1" applyBorder="1" applyAlignment="1">
      <alignment horizontal="center" vertical="center"/>
    </xf>
    <xf numFmtId="2" fontId="0" fillId="32" borderId="17" xfId="0" applyNumberFormat="1" applyFont="1" applyFill="1" applyBorder="1" applyAlignment="1">
      <alignment horizontal="center" vertical="center"/>
    </xf>
    <xf numFmtId="2" fontId="0" fillId="32" borderId="17" xfId="1" applyNumberFormat="1" applyFont="1" applyFill="1" applyBorder="1" applyAlignment="1">
      <alignment horizontal="center" vertical="center"/>
    </xf>
    <xf numFmtId="2" fontId="8" fillId="32" borderId="17" xfId="1" applyNumberFormat="1" applyFont="1" applyFill="1" applyBorder="1" applyAlignment="1">
      <alignment horizontal="center" vertical="center"/>
    </xf>
    <xf numFmtId="2" fontId="8" fillId="32" borderId="17" xfId="1" applyNumberFormat="1" applyFont="1" applyFill="1" applyBorder="1" applyAlignment="1">
      <alignment horizontal="center" vertical="center" wrapText="1"/>
    </xf>
    <xf numFmtId="2" fontId="8" fillId="33" borderId="17" xfId="1" applyNumberFormat="1" applyFont="1" applyFill="1" applyBorder="1" applyAlignment="1">
      <alignment horizontal="center" vertical="center"/>
    </xf>
    <xf numFmtId="2" fontId="8" fillId="32" borderId="17" xfId="0" applyNumberFormat="1" applyFont="1" applyFill="1" applyBorder="1" applyAlignment="1">
      <alignment horizontal="center" vertical="center" wrapText="1"/>
    </xf>
    <xf numFmtId="2" fontId="8" fillId="33" borderId="17" xfId="0" applyNumberFormat="1" applyFont="1" applyFill="1" applyBorder="1" applyAlignment="1">
      <alignment horizontal="center" vertical="center"/>
    </xf>
    <xf numFmtId="2" fontId="9" fillId="8" borderId="17" xfId="1" applyNumberFormat="1" applyFont="1" applyFill="1" applyBorder="1" applyAlignment="1">
      <alignment horizontal="center" vertical="center"/>
    </xf>
    <xf numFmtId="2" fontId="19" fillId="8" borderId="17" xfId="0" applyNumberFormat="1" applyFont="1" applyFill="1" applyBorder="1" applyAlignment="1">
      <alignment horizontal="center" vertical="center"/>
    </xf>
    <xf numFmtId="164" fontId="6" fillId="32" borderId="8" xfId="0" applyNumberFormat="1" applyFont="1" applyFill="1" applyBorder="1" applyAlignment="1">
      <alignment horizontal="center" vertical="center"/>
    </xf>
    <xf numFmtId="193" fontId="8" fillId="11" borderId="8" xfId="0" applyNumberFormat="1" applyFont="1" applyFill="1" applyBorder="1" applyAlignment="1">
      <alignment horizontal="center" vertical="center"/>
    </xf>
    <xf numFmtId="193" fontId="0" fillId="11" borderId="8" xfId="0" applyNumberFormat="1" applyFont="1" applyFill="1" applyBorder="1" applyAlignment="1">
      <alignment horizontal="center" vertical="center"/>
    </xf>
    <xf numFmtId="166" fontId="33" fillId="18" borderId="1" xfId="1" applyNumberFormat="1" applyFont="1" applyFill="1" applyBorder="1" applyAlignment="1">
      <alignment horizontal="center" vertical="center" wrapText="1"/>
    </xf>
    <xf numFmtId="166" fontId="0" fillId="19" borderId="1" xfId="1" applyNumberFormat="1" applyFont="1" applyFill="1" applyBorder="1" applyAlignment="1">
      <alignment horizontal="center" vertical="center"/>
    </xf>
    <xf numFmtId="166" fontId="0" fillId="19" borderId="8" xfId="1" applyNumberFormat="1" applyFont="1" applyFill="1" applyBorder="1" applyAlignment="1">
      <alignment horizontal="center" vertical="center"/>
    </xf>
    <xf numFmtId="166" fontId="0" fillId="14" borderId="1" xfId="1" applyNumberFormat="1" applyFont="1" applyFill="1" applyBorder="1" applyAlignment="1">
      <alignment horizontal="center" vertical="center"/>
    </xf>
    <xf numFmtId="166" fontId="8" fillId="14" borderId="1" xfId="1" applyNumberFormat="1" applyFont="1" applyFill="1" applyBorder="1" applyAlignment="1">
      <alignment horizontal="center" vertical="center" wrapText="1"/>
    </xf>
    <xf numFmtId="166" fontId="8" fillId="10" borderId="8" xfId="1" applyNumberFormat="1" applyFont="1" applyFill="1" applyBorder="1" applyAlignment="1">
      <alignment horizontal="center" vertical="center" wrapText="1"/>
    </xf>
    <xf numFmtId="166" fontId="0" fillId="14" borderId="8" xfId="1" applyNumberFormat="1" applyFont="1" applyFill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0" fontId="6" fillId="52" borderId="8" xfId="0" applyFont="1" applyFill="1" applyBorder="1" applyAlignment="1">
      <alignment horizontal="center" vertical="center"/>
    </xf>
    <xf numFmtId="0" fontId="6" fillId="52" borderId="1" xfId="0" applyFont="1" applyFill="1" applyBorder="1" applyAlignment="1">
      <alignment horizontal="center" vertical="center"/>
    </xf>
    <xf numFmtId="0" fontId="5" fillId="52" borderId="8" xfId="0" applyFont="1" applyFill="1" applyBorder="1" applyAlignment="1">
      <alignment horizontal="center" vertical="center" wrapText="1"/>
    </xf>
    <xf numFmtId="166" fontId="0" fillId="32" borderId="8" xfId="1" applyNumberFormat="1" applyFont="1" applyFill="1" applyBorder="1" applyAlignment="1">
      <alignment horizontal="center" vertical="center"/>
    </xf>
    <xf numFmtId="164" fontId="9" fillId="8" borderId="15" xfId="0" applyNumberFormat="1" applyFont="1" applyFill="1" applyBorder="1" applyAlignment="1">
      <alignment horizontal="center" vertical="center"/>
    </xf>
    <xf numFmtId="165" fontId="9" fillId="11" borderId="8" xfId="0" applyNumberFormat="1" applyFont="1" applyFill="1" applyBorder="1" applyAlignment="1">
      <alignment horizontal="center" vertical="center"/>
    </xf>
    <xf numFmtId="2" fontId="8" fillId="33" borderId="17" xfId="1" applyNumberFormat="1" applyFont="1" applyFill="1" applyBorder="1" applyAlignment="1">
      <alignment horizontal="center" vertical="center" wrapText="1"/>
    </xf>
    <xf numFmtId="2" fontId="8" fillId="32" borderId="17" xfId="0" applyNumberFormat="1" applyFont="1" applyFill="1" applyBorder="1" applyAlignment="1">
      <alignment horizontal="center" vertical="center"/>
    </xf>
    <xf numFmtId="3" fontId="42" fillId="60" borderId="8" xfId="10" applyNumberFormat="1" applyFont="1" applyFill="1" applyBorder="1" applyAlignment="1">
      <alignment horizontal="center" vertical="center" wrapText="1"/>
    </xf>
    <xf numFmtId="0" fontId="0" fillId="60" borderId="0" xfId="0" applyFont="1" applyFill="1" applyBorder="1" applyAlignment="1">
      <alignment horizontal="center" vertical="center"/>
    </xf>
    <xf numFmtId="3" fontId="42" fillId="63" borderId="8" xfId="10" applyNumberFormat="1" applyFont="1" applyFill="1" applyBorder="1" applyAlignment="1">
      <alignment horizontal="center" vertical="center" wrapText="1"/>
    </xf>
    <xf numFmtId="0" fontId="0" fillId="23" borderId="0" xfId="0" applyFont="1" applyFill="1" applyBorder="1" applyAlignment="1">
      <alignment horizontal="center" vertical="center"/>
    </xf>
    <xf numFmtId="3" fontId="42" fillId="63" borderId="8" xfId="10" applyNumberFormat="1" applyFont="1" applyFill="1" applyBorder="1" applyAlignment="1">
      <alignment horizontal="right" vertical="center" wrapText="1"/>
    </xf>
    <xf numFmtId="0" fontId="0" fillId="23" borderId="0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/>
    </xf>
    <xf numFmtId="2" fontId="9" fillId="8" borderId="39" xfId="1" applyNumberFormat="1" applyFont="1" applyFill="1" applyBorder="1" applyAlignment="1">
      <alignment horizontal="center" vertical="center"/>
    </xf>
    <xf numFmtId="43" fontId="33" fillId="11" borderId="15" xfId="1" applyFont="1" applyFill="1" applyBorder="1" applyAlignment="1">
      <alignment horizontal="center" vertical="center" wrapText="1"/>
    </xf>
    <xf numFmtId="165" fontId="0" fillId="11" borderId="15" xfId="0" applyNumberFormat="1" applyFont="1" applyFill="1" applyBorder="1" applyAlignment="1">
      <alignment horizontal="center" vertical="center"/>
    </xf>
    <xf numFmtId="165" fontId="8" fillId="11" borderId="15" xfId="0" applyNumberFormat="1" applyFont="1" applyFill="1" applyBorder="1" applyAlignment="1">
      <alignment horizontal="center" vertical="center"/>
    </xf>
    <xf numFmtId="43" fontId="33" fillId="18" borderId="17" xfId="1" applyFont="1" applyFill="1" applyBorder="1" applyAlignment="1">
      <alignment horizontal="center" vertical="center" wrapText="1"/>
    </xf>
    <xf numFmtId="165" fontId="0" fillId="19" borderId="17" xfId="0" applyNumberFormat="1" applyFont="1" applyFill="1" applyBorder="1" applyAlignment="1">
      <alignment horizontal="center" vertical="center"/>
    </xf>
    <xf numFmtId="165" fontId="0" fillId="10" borderId="17" xfId="0" applyNumberFormat="1" applyFont="1" applyFill="1" applyBorder="1" applyAlignment="1">
      <alignment horizontal="center" vertical="center"/>
    </xf>
    <xf numFmtId="43" fontId="8" fillId="11" borderId="16" xfId="1" applyFont="1" applyFill="1" applyBorder="1" applyAlignment="1">
      <alignment horizontal="center" vertical="center" wrapText="1"/>
    </xf>
    <xf numFmtId="43" fontId="33" fillId="11" borderId="43" xfId="1" applyFont="1" applyFill="1" applyBorder="1" applyAlignment="1">
      <alignment horizontal="center" vertical="center" wrapText="1"/>
    </xf>
    <xf numFmtId="165" fontId="0" fillId="21" borderId="26" xfId="0" applyNumberFormat="1" applyFont="1" applyFill="1" applyBorder="1" applyAlignment="1">
      <alignment horizontal="center" vertical="center"/>
    </xf>
    <xf numFmtId="165" fontId="8" fillId="21" borderId="26" xfId="0" applyNumberFormat="1" applyFont="1" applyFill="1" applyBorder="1" applyAlignment="1">
      <alignment horizontal="center" vertical="center"/>
    </xf>
    <xf numFmtId="0" fontId="5" fillId="52" borderId="1" xfId="0" applyFont="1" applyFill="1" applyBorder="1" applyAlignment="1">
      <alignment horizontal="center" vertical="center" wrapText="1"/>
    </xf>
    <xf numFmtId="0" fontId="7" fillId="52" borderId="1" xfId="0" applyFont="1" applyFill="1" applyBorder="1" applyAlignment="1">
      <alignment horizontal="center" vertical="center" wrapText="1"/>
    </xf>
    <xf numFmtId="20" fontId="0" fillId="11" borderId="1" xfId="0" applyNumberFormat="1" applyFont="1" applyFill="1" applyBorder="1" applyAlignment="1">
      <alignment horizontal="center" vertical="center"/>
    </xf>
    <xf numFmtId="0" fontId="5" fillId="52" borderId="1" xfId="0" applyFont="1" applyFill="1" applyBorder="1" applyAlignment="1">
      <alignment horizontal="center" vertical="center"/>
    </xf>
    <xf numFmtId="0" fontId="5" fillId="52" borderId="8" xfId="0" applyFont="1" applyFill="1" applyBorder="1" applyAlignment="1">
      <alignment horizontal="center" vertical="center"/>
    </xf>
    <xf numFmtId="165" fontId="8" fillId="14" borderId="26" xfId="0" applyNumberFormat="1" applyFont="1" applyFill="1" applyBorder="1" applyAlignment="1">
      <alignment horizontal="center" vertical="center"/>
    </xf>
    <xf numFmtId="14" fontId="6" fillId="8" borderId="8" xfId="0" applyNumberFormat="1" applyFont="1" applyFill="1" applyBorder="1" applyAlignment="1">
      <alignment horizontal="center" vertical="center"/>
    </xf>
    <xf numFmtId="9" fontId="0" fillId="32" borderId="8" xfId="2" applyFont="1" applyFill="1" applyBorder="1" applyAlignment="1">
      <alignment horizontal="center" vertical="center"/>
    </xf>
    <xf numFmtId="0" fontId="7" fillId="52" borderId="8" xfId="0" applyFont="1" applyFill="1" applyBorder="1" applyAlignment="1">
      <alignment horizontal="center" vertical="center" wrapText="1"/>
    </xf>
    <xf numFmtId="0" fontId="22" fillId="39" borderId="27" xfId="0" applyFont="1" applyFill="1" applyBorder="1" applyAlignment="1">
      <alignment horizontal="center" vertical="center" wrapText="1"/>
    </xf>
    <xf numFmtId="0" fontId="22" fillId="39" borderId="4" xfId="0" applyFont="1" applyFill="1" applyBorder="1" applyAlignment="1">
      <alignment horizontal="center" vertical="center" wrapText="1"/>
    </xf>
    <xf numFmtId="0" fontId="25" fillId="35" borderId="27" xfId="9" applyFont="1" applyFill="1" applyBorder="1" applyAlignment="1">
      <alignment horizontal="center" vertical="center"/>
    </xf>
    <xf numFmtId="0" fontId="25" fillId="35" borderId="4" xfId="9" applyFont="1" applyFill="1" applyBorder="1" applyAlignment="1">
      <alignment horizontal="center" vertical="center"/>
    </xf>
    <xf numFmtId="0" fontId="6" fillId="44" borderId="27" xfId="0" applyFont="1" applyFill="1" applyBorder="1" applyAlignment="1">
      <alignment horizontal="center" vertical="center" wrapText="1"/>
    </xf>
    <xf numFmtId="0" fontId="6" fillId="44" borderId="4" xfId="0" applyFont="1" applyFill="1" applyBorder="1" applyAlignment="1">
      <alignment horizontal="center" vertical="center" wrapText="1"/>
    </xf>
    <xf numFmtId="0" fontId="25" fillId="53" borderId="27" xfId="9" applyFont="1" applyFill="1" applyBorder="1" applyAlignment="1">
      <alignment horizontal="center" vertical="center"/>
    </xf>
    <xf numFmtId="0" fontId="25" fillId="53" borderId="4" xfId="9" applyFont="1" applyFill="1" applyBorder="1" applyAlignment="1">
      <alignment horizontal="center" vertical="center"/>
    </xf>
    <xf numFmtId="0" fontId="25" fillId="50" borderId="27" xfId="9" applyFont="1" applyFill="1" applyBorder="1" applyAlignment="1">
      <alignment horizontal="center" vertical="center"/>
    </xf>
    <xf numFmtId="0" fontId="25" fillId="50" borderId="4" xfId="9" applyFont="1" applyFill="1" applyBorder="1" applyAlignment="1">
      <alignment horizontal="center" vertical="center"/>
    </xf>
    <xf numFmtId="0" fontId="25" fillId="52" borderId="27" xfId="9" applyFont="1" applyFill="1" applyBorder="1" applyAlignment="1">
      <alignment horizontal="center" vertical="center"/>
    </xf>
    <xf numFmtId="0" fontId="25" fillId="52" borderId="4" xfId="9" applyFont="1" applyFill="1" applyBorder="1" applyAlignment="1">
      <alignment horizontal="center" vertical="center"/>
    </xf>
    <xf numFmtId="0" fontId="25" fillId="38" borderId="27" xfId="9" applyFont="1" applyFill="1" applyBorder="1" applyAlignment="1">
      <alignment horizontal="center" vertical="center"/>
    </xf>
    <xf numFmtId="0" fontId="25" fillId="38" borderId="4" xfId="9" applyFont="1" applyFill="1" applyBorder="1" applyAlignment="1">
      <alignment horizontal="center" vertical="center"/>
    </xf>
  </cellXfs>
  <cellStyles count="19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/>
    <cellStyle name="Excel_BuiltIn_RowLevel_1" xfId="18"/>
    <cellStyle name="Milliers" xfId="1" builtinId="3"/>
    <cellStyle name="Milliers 2" xfId="11"/>
    <cellStyle name="Neutre" xfId="4" builtinId="28"/>
    <cellStyle name="NiveauLigne_8" xfId="17"/>
    <cellStyle name="Normal" xfId="0" builtinId="0"/>
    <cellStyle name="Normal 2" xfId="10"/>
    <cellStyle name="Normal 3" xfId="13"/>
    <cellStyle name="Normal 4" xfId="14"/>
    <cellStyle name="Normal_Liste programmation logts PCA NBL v2014" xfId="9"/>
    <cellStyle name="Normal_Prévisionnel HONO PAC 2012 V4 fev 2012" xfId="12"/>
    <cellStyle name="Pourcentage" xfId="2" builtinId="5"/>
    <cellStyle name="Pourcentage 2" xfId="15"/>
    <cellStyle name="Satisfaisant" xfId="3" builtinId="26"/>
  </cellStyles>
  <dxfs count="4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center" textRotation="0" indent="0" justifyLastLine="0" shrinkToFit="0" readingOrder="0"/>
    </dxf>
    <dxf>
      <numFmt numFmtId="166" formatCode="_-* #,##0\ _€_-;\-* #,##0\ _€_-;_-* &quot;-&quot;??\ _€_-;_-@_-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66"/>
      <color rgb="FF0099FF"/>
      <color rgb="FF08E61D"/>
      <color rgb="FFFFFF99"/>
      <color rgb="FF006600"/>
      <color rgb="FFFF505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Mises en chantier -</a:t>
            </a:r>
            <a:r>
              <a:rPr lang="fr-FR" baseline="0"/>
              <a:t> Livraisons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Mises en chantier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SYNTHESE!$B$4:$B$13</c:f>
              <c:numCache>
                <c:formatCode>General</c:formatCode>
                <c:ptCount val="10"/>
                <c:pt idx="0">
                  <c:v>127</c:v>
                </c:pt>
                <c:pt idx="1">
                  <c:v>64</c:v>
                </c:pt>
                <c:pt idx="2">
                  <c:v>400</c:v>
                </c:pt>
                <c:pt idx="3">
                  <c:v>278</c:v>
                </c:pt>
                <c:pt idx="4">
                  <c:v>222</c:v>
                </c:pt>
                <c:pt idx="5">
                  <c:v>48</c:v>
                </c:pt>
                <c:pt idx="6">
                  <c:v>481</c:v>
                </c:pt>
                <c:pt idx="7">
                  <c:v>839</c:v>
                </c:pt>
                <c:pt idx="8">
                  <c:v>516</c:v>
                </c:pt>
                <c:pt idx="9">
                  <c:v>336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F3-425B-B26D-BA9A8CC9981D}"/>
            </c:ext>
          </c:extLst>
        </c:ser>
        <c:ser>
          <c:idx val="2"/>
          <c:order val="2"/>
          <c:tx>
            <c:strRef>
              <c:f>SYNTHESE!$D$3</c:f>
              <c:strCache>
                <c:ptCount val="1"/>
                <c:pt idx="0">
                  <c:v>Livraisons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SYNTHESE!$D$4:$D$13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70</c:v>
                </c:pt>
                <c:pt idx="3">
                  <c:v>226</c:v>
                </c:pt>
                <c:pt idx="4">
                  <c:v>181</c:v>
                </c:pt>
                <c:pt idx="5">
                  <c:v>244</c:v>
                </c:pt>
                <c:pt idx="6">
                  <c:v>336</c:v>
                </c:pt>
                <c:pt idx="7">
                  <c:v>238</c:v>
                </c:pt>
                <c:pt idx="8">
                  <c:v>814</c:v>
                </c:pt>
                <c:pt idx="9">
                  <c:v>755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-404713056"/>
        <c:axId val="-404704352"/>
      </c:barChart>
      <c:lineChart>
        <c:grouping val="standard"/>
        <c:varyColors val="0"/>
        <c:ser>
          <c:idx val="1"/>
          <c:order val="1"/>
          <c:tx>
            <c:strRef>
              <c:f>SYNTHESE!$C$3</c:f>
              <c:strCache>
                <c:ptCount val="1"/>
                <c:pt idx="0">
                  <c:v>Avancement 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SYNTHESE!$C$4:$C$13</c:f>
              <c:numCache>
                <c:formatCode>General</c:formatCode>
                <c:ptCount val="10"/>
                <c:pt idx="0">
                  <c:v>127</c:v>
                </c:pt>
                <c:pt idx="1">
                  <c:v>64</c:v>
                </c:pt>
                <c:pt idx="2">
                  <c:v>400</c:v>
                </c:pt>
                <c:pt idx="3">
                  <c:v>278</c:v>
                </c:pt>
                <c:pt idx="4">
                  <c:v>222</c:v>
                </c:pt>
                <c:pt idx="5">
                  <c:v>48</c:v>
                </c:pt>
                <c:pt idx="6">
                  <c:v>481</c:v>
                </c:pt>
                <c:pt idx="7">
                  <c:v>142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9F3-425B-B26D-BA9A8CC9981D}"/>
            </c:ext>
          </c:extLst>
        </c:ser>
        <c:ser>
          <c:idx val="3"/>
          <c:order val="3"/>
          <c:tx>
            <c:strRef>
              <c:f>SYNTHESE!$E$3</c:f>
              <c:strCache>
                <c:ptCount val="1"/>
                <c:pt idx="0">
                  <c:v>Avancement 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SYNTHESE!$A$4:$A$13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SYNTHESE!$E$4:$E$13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70</c:v>
                </c:pt>
                <c:pt idx="3">
                  <c:v>226</c:v>
                </c:pt>
                <c:pt idx="4">
                  <c:v>181</c:v>
                </c:pt>
                <c:pt idx="5">
                  <c:v>244</c:v>
                </c:pt>
                <c:pt idx="6">
                  <c:v>336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04713056"/>
        <c:axId val="-404704352"/>
      </c:lineChart>
      <c:catAx>
        <c:axId val="-40471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04352"/>
        <c:crosses val="autoZero"/>
        <c:auto val="1"/>
        <c:lblAlgn val="ctr"/>
        <c:lblOffset val="100"/>
        <c:noMultiLvlLbl val="0"/>
      </c:catAx>
      <c:valAx>
        <c:axId val="-40470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1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Taille des opérations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965963659687233"/>
          <c:y val="0.39984818251693788"/>
          <c:w val="0.78068072680625533"/>
          <c:h val="0.4954957419840878"/>
        </c:manualLayout>
      </c:layout>
      <c:pie3DChart>
        <c:varyColors val="1"/>
        <c:ser>
          <c:idx val="1"/>
          <c:order val="1"/>
          <c:tx>
            <c:strRef>
              <c:f>SYNTHESE!$B$91</c:f>
              <c:strCache>
                <c:ptCount val="1"/>
                <c:pt idx="0">
                  <c:v>Logements</c:v>
                </c:pt>
              </c:strCache>
            </c:strRef>
          </c:tx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EB9C-4A47-9B4A-10913251C686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EB9C-4A47-9B4A-10913251C686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EB9C-4A47-9B4A-10913251C686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EB9C-4A47-9B4A-10913251C6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SYNTHESE!$A$92:$A$95</c:f>
              <c:strCache>
                <c:ptCount val="4"/>
                <c:pt idx="0">
                  <c:v>0-19</c:v>
                </c:pt>
                <c:pt idx="1">
                  <c:v>20-39</c:v>
                </c:pt>
                <c:pt idx="2">
                  <c:v>40-59</c:v>
                </c:pt>
                <c:pt idx="3">
                  <c:v>&gt;60</c:v>
                </c:pt>
              </c:strCache>
            </c:strRef>
          </c:cat>
          <c:val>
            <c:numRef>
              <c:f>SYNTHESE!$B$92:$B$95</c:f>
              <c:numCache>
                <c:formatCode>#,##0</c:formatCode>
                <c:ptCount val="4"/>
                <c:pt idx="0">
                  <c:v>372</c:v>
                </c:pt>
                <c:pt idx="1">
                  <c:v>954</c:v>
                </c:pt>
                <c:pt idx="2">
                  <c:v>566</c:v>
                </c:pt>
                <c:pt idx="3">
                  <c:v>590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EB9C-4A47-9B4A-10913251C68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SYNTHESE!#REF!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1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>
                      <a:bevelT w="127000" h="127000"/>
                      <a:bevelB w="127000" h="127000"/>
                    </a:sp3d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1-EB9C-4A47-9B4A-10913251C686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1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>
                      <a:bevelT w="127000" h="127000"/>
                      <a:bevelB w="127000" h="127000"/>
                    </a:sp3d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3-EB9C-4A47-9B4A-10913251C686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1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>
                      <a:bevelT w="127000" h="127000"/>
                      <a:bevelB w="127000" h="127000"/>
                    </a:sp3d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5-EB9C-4A47-9B4A-10913251C68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88900" sx="102000" sy="102000" algn="ctr" rotWithShape="0">
                        <a:prstClr val="black">
                          <a:alpha val="10000"/>
                        </a:prstClr>
                      </a:outerShdw>
                    </a:effectLst>
                    <a:scene3d>
                      <a:camera prst="orthographicFront"/>
                      <a:lightRig rig="threePt" dir="t"/>
                    </a:scene3d>
                    <a:sp3d>
                      <a:bevelT w="127000" h="127000"/>
                      <a:bevelB w="127000" h="127000"/>
                    </a:sp3d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07-EB9C-4A47-9B4A-10913251C686}"/>
                    </c:ext>
                  </c:extLst>
                </c:dPt>
                <c:dLbls>
                  <c:dLbl>
                    <c:idx val="0"/>
                    <c:layout>
                      <c:manualLayout>
                        <c:x val="2.5723472668810133E-2"/>
                        <c:y val="-8.0808132225010931E-3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1" i="0" u="none" strike="noStrike" kern="1200" spc="0" baseline="0">
                            <a:solidFill>
                              <a:schemeClr val="accent6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bestFit"/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 xmlns:c16r2="http://schemas.microsoft.com/office/drawing/2015/06/chart">
                      <c:ext xmlns:c16="http://schemas.microsoft.com/office/drawing/2014/chart" uri="{C3380CC4-5D6E-409C-BE32-E72D297353CC}">
                        <c16:uniqueId val="{00000001-EB9C-4A47-9B4A-10913251C686}"/>
                      </c:ext>
                      <c:ext uri="{CE6537A1-D6FC-4f65-9D91-7224C49458BB}"/>
                    </c:extLst>
                  </c:dLbl>
                  <c:dLbl>
                    <c:idx val="1"/>
                    <c:layout>
                      <c:manualLayout>
                        <c:x val="-0.20578778135048234"/>
                        <c:y val="0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1" i="0" u="none" strike="noStrike" kern="1200" spc="0" baseline="0">
                            <a:solidFill>
                              <a:schemeClr val="accent5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bestFit"/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  <c:extLst xmlns:c16r2="http://schemas.microsoft.com/office/drawing/2015/06/chart">
                      <c:ext xmlns:c16="http://schemas.microsoft.com/office/drawing/2014/chart" uri="{C3380CC4-5D6E-409C-BE32-E72D297353CC}">
                        <c16:uniqueId val="{00000003-EB9C-4A47-9B4A-10913251C686}"/>
                      </c:ext>
                      <c:ext uri="{CE6537A1-D6FC-4f65-9D91-7224C49458BB}"/>
                    </c:extLst>
                  </c:dLbl>
                  <c:dLbl>
                    <c:idx val="2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1" i="0" u="none" strike="noStrike" kern="1200" spc="0" baseline="0">
                            <a:solidFill>
                              <a:schemeClr val="accent4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outEnd"/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</c:dLbl>
                  <c:dLbl>
                    <c:idx val="3"/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1000" b="1" i="0" u="none" strike="noStrike" kern="1200" spc="0" baseline="0">
                            <a:solidFill>
                              <a:schemeClr val="accent6">
                                <a:lumMod val="60000"/>
                              </a:schemeClr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outEnd"/>
                    <c:showLegendKey val="0"/>
                    <c:showVal val="0"/>
                    <c:showCatName val="1"/>
                    <c:showSerName val="0"/>
                    <c:showPercent val="1"/>
                    <c:showBubbleSize val="0"/>
                  </c:dLbl>
                  <c:spPr>
                    <a:noFill/>
                    <a:ln>
                      <a:noFill/>
                    </a:ln>
                    <a:effectLst/>
                  </c:sp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SYNTHESE!$A$92:$A$95</c15:sqref>
                        </c15:formulaRef>
                      </c:ext>
                    </c:extLst>
                    <c:strCache>
                      <c:ptCount val="4"/>
                      <c:pt idx="0">
                        <c:v>0-19</c:v>
                      </c:pt>
                      <c:pt idx="1">
                        <c:v>20-39</c:v>
                      </c:pt>
                      <c:pt idx="2">
                        <c:v>40-59</c:v>
                      </c:pt>
                      <c:pt idx="3">
                        <c:v>&gt;60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SYNTHESE!#REF!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8-EB9C-4A47-9B4A-10913251C686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Foncier € / lgt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SYNTHESE!$B$99</c:f>
              <c:strCache>
                <c:ptCount val="1"/>
                <c:pt idx="0">
                  <c:v>€ / lgt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SYNTHESE!$A$100:$A$109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xVal>
          <c:yVal>
            <c:numRef>
              <c:f>SYNTHESE!$B$100:$B$109</c:f>
              <c:numCache>
                <c:formatCode>#,##0</c:formatCode>
                <c:ptCount val="10"/>
                <c:pt idx="0">
                  <c:v>22486.427017543861</c:v>
                </c:pt>
                <c:pt idx="1">
                  <c:v>20668.457089552237</c:v>
                </c:pt>
                <c:pt idx="2">
                  <c:v>13425.0975</c:v>
                </c:pt>
                <c:pt idx="3">
                  <c:v>13305.622828784119</c:v>
                </c:pt>
                <c:pt idx="4">
                  <c:v>16551.254335260117</c:v>
                </c:pt>
                <c:pt idx="5">
                  <c:v>13379.85576923077</c:v>
                </c:pt>
                <c:pt idx="6">
                  <c:v>12680.366101694915</c:v>
                </c:pt>
                <c:pt idx="7">
                  <c:v>14389.707228554444</c:v>
                </c:pt>
                <c:pt idx="8">
                  <c:v>13381.483412322275</c:v>
                </c:pt>
                <c:pt idx="9">
                  <c:v>13001.484981969234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A104-4F2C-95ED-82F3AA11BD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04706528"/>
        <c:axId val="-404702720"/>
      </c:scatterChart>
      <c:valAx>
        <c:axId val="-404706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02720"/>
        <c:crosses val="autoZero"/>
        <c:crossBetween val="midCat"/>
      </c:valAx>
      <c:valAx>
        <c:axId val="-404702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06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1" baseline="0">
                <a:effectLst/>
              </a:rPr>
              <a:t>Evolution de la programmation par bassin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839-4A49-8698-21818D06D97A}"/>
            </c:ex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numRef>
                </c15:cat>
              </c15:filteredCategoryTitle>
            </c:ext>
          </c:extLst>
        </c:ser>
        <c:ser>
          <c:idx val="1"/>
          <c:order val="1"/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839-4A49-8698-21818D06D97A}"/>
            </c:ex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numRef>
                </c15:cat>
              </c15:filteredCategoryTitle>
            </c:ext>
          </c:extLst>
        </c:ser>
        <c:ser>
          <c:idx val="2"/>
          <c:order val="2"/>
          <c:spPr>
            <a:solidFill>
              <a:srgbClr val="08E61D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839-4A49-8698-21818D06D97A}"/>
            </c:ex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numRef>
                </c15:cat>
              </c15:filteredCategoryTitle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404709248"/>
        <c:axId val="-404702176"/>
      </c:barChart>
      <c:catAx>
        <c:axId val="-40470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02176"/>
        <c:crosses val="autoZero"/>
        <c:auto val="1"/>
        <c:lblAlgn val="ctr"/>
        <c:lblOffset val="100"/>
        <c:noMultiLvlLbl val="0"/>
      </c:catAx>
      <c:valAx>
        <c:axId val="-4047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0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rgbClr val="FF0066"/>
                </a:solidFill>
              </a:rPr>
              <a:t>Evolution LBU</a:t>
            </a:r>
            <a:r>
              <a:rPr lang="fr-FR" baseline="0">
                <a:solidFill>
                  <a:srgbClr val="FF0066"/>
                </a:solidFill>
              </a:rPr>
              <a:t> / logement</a:t>
            </a:r>
            <a:endParaRPr lang="fr-FR">
              <a:solidFill>
                <a:srgbClr val="FF0066"/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0066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SYNTHESE!$B$137:$J$137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cat>
          <c:val>
            <c:numRef>
              <c:f>SYNTHESE!$B$141:$J$141</c:f>
              <c:numCache>
                <c:formatCode>#,##0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F17-42EB-B5E1-18FA05B1B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404715776"/>
        <c:axId val="-402639168"/>
      </c:barChart>
      <c:scatterChart>
        <c:scatterStyle val="lineMarker"/>
        <c:varyColors val="0"/>
        <c:ser>
          <c:idx val="1"/>
          <c:order val="1"/>
          <c:tx>
            <c:v>Moyenne</c:v>
          </c:tx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>
                <a:solidFill>
                  <a:schemeClr val="l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errBars>
            <c:errDir val="x"/>
            <c:errBarType val="plus"/>
            <c:errValType val="cust"/>
            <c:noEndCap val="1"/>
            <c:plus>
              <c:numRef>
                <c:f>SYNTHESE!$M$141</c:f>
                <c:numCache>
                  <c:formatCode>General</c:formatCode>
                  <c:ptCount val="1"/>
                  <c:pt idx="0">
                    <c:v>9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noFill/>
              <a:ln w="31750">
                <a:solidFill>
                  <a:schemeClr val="tx1"/>
                </a:solidFill>
                <a:round/>
              </a:ln>
              <a:effectLst/>
            </c:spPr>
          </c:errBars>
          <c:errBars>
            <c:errDir val="y"/>
            <c:errBarType val="both"/>
            <c:errValType val="stdErr"/>
            <c:noEndCap val="0"/>
            <c:spPr>
              <a:noFill/>
              <a:ln w="9525">
                <a:solidFill>
                  <a:schemeClr val="tx2">
                    <a:lumMod val="75000"/>
                    <a:lumOff val="25000"/>
                  </a:schemeClr>
                </a:solidFill>
                <a:round/>
              </a:ln>
              <a:effectLst/>
            </c:spPr>
          </c:errBars>
          <c:yVal>
            <c:numRef>
              <c:f>SYNTHESE!$K$141</c:f>
              <c:numCache>
                <c:formatCode>#,##0</c:formatCode>
                <c:ptCount val="1"/>
                <c:pt idx="0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F17-42EB-B5E1-18FA05B1B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04715776"/>
        <c:axId val="-402639168"/>
      </c:scatterChart>
      <c:catAx>
        <c:axId val="-40471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9168"/>
        <c:crosses val="autoZero"/>
        <c:auto val="1"/>
        <c:lblAlgn val="ctr"/>
        <c:lblOffset val="100"/>
        <c:noMultiLvlLbl val="0"/>
      </c:catAx>
      <c:valAx>
        <c:axId val="-40263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4715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PRIX DE REVIENT PAR LOGEMENT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SYNTHESE!$B$160</c:f>
              <c:strCache>
                <c:ptCount val="1"/>
                <c:pt idx="0">
                  <c:v>AU LOGEMENT</c:v>
                </c:pt>
              </c:strCache>
            </c:strRef>
          </c:tx>
          <c:spPr>
            <a:ln w="9525" cap="rnd">
              <a:solidFill>
                <a:schemeClr val="tx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tx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xVal>
            <c:numRef>
              <c:f>SYNTHESE!$A$164:$A$169</c:f>
              <c:numCache>
                <c:formatCode>General</c:formatCod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numCache>
            </c:numRef>
          </c:xVal>
          <c:yVal>
            <c:numRef>
              <c:f>SYNTHESE!$B$164:$B$169</c:f>
              <c:numCache>
                <c:formatCode>#,##0</c:formatCode>
                <c:ptCount val="6"/>
                <c:pt idx="0">
                  <c:v>161887.24285714285</c:v>
                </c:pt>
                <c:pt idx="1">
                  <c:v>147358.81969026549</c:v>
                </c:pt>
                <c:pt idx="2">
                  <c:v>157758.8023756906</c:v>
                </c:pt>
                <c:pt idx="3">
                  <c:v>170421.64110655736</c:v>
                </c:pt>
                <c:pt idx="4">
                  <c:v>175019.85252976191</c:v>
                </c:pt>
                <c:pt idx="5">
                  <c:v>168568.49048319328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4D1-41CD-9531-A3091A28BC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02629376"/>
        <c:axId val="-402636448"/>
      </c:scatterChart>
      <c:valAx>
        <c:axId val="-402629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6448"/>
        <c:crosses val="autoZero"/>
        <c:crossBetween val="midCat"/>
      </c:valAx>
      <c:valAx>
        <c:axId val="-40263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29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PRIX DE REVIENT AU M² DE</a:t>
            </a:r>
            <a:r>
              <a:rPr lang="fr-FR" baseline="0"/>
              <a:t> SF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SYNTHESE!$D$160</c:f>
              <c:strCache>
                <c:ptCount val="1"/>
                <c:pt idx="0">
                  <c:v>AU M² DE SF</c:v>
                </c:pt>
              </c:strCache>
            </c:strRef>
          </c:tx>
          <c:spPr>
            <a:ln w="9525" cap="rnd">
              <a:solidFill>
                <a:schemeClr val="tx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tx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xVal>
            <c:numRef>
              <c:f>SYNTHESE!$A$164:$A$169</c:f>
              <c:numCache>
                <c:formatCode>General</c:formatCode>
                <c:ptCount val="6"/>
                <c:pt idx="0">
                  <c:v>2013</c:v>
                </c:pt>
                <c:pt idx="1">
                  <c:v>2014</c:v>
                </c:pt>
                <c:pt idx="2">
                  <c:v>2015</c:v>
                </c:pt>
                <c:pt idx="3">
                  <c:v>2016</c:v>
                </c:pt>
                <c:pt idx="4">
                  <c:v>2017</c:v>
                </c:pt>
                <c:pt idx="5">
                  <c:v>2018</c:v>
                </c:pt>
              </c:numCache>
            </c:numRef>
          </c:xVal>
          <c:yVal>
            <c:numRef>
              <c:f>SYNTHESE!$D$164:$D$169</c:f>
              <c:numCache>
                <c:formatCode>#,##0</c:formatCode>
                <c:ptCount val="6"/>
                <c:pt idx="0">
                  <c:v>1942.3317015981404</c:v>
                </c:pt>
                <c:pt idx="1">
                  <c:v>2010.3655959999253</c:v>
                </c:pt>
                <c:pt idx="2">
                  <c:v>1963.4316272756525</c:v>
                </c:pt>
                <c:pt idx="3">
                  <c:v>2065.5732055396047</c:v>
                </c:pt>
                <c:pt idx="4">
                  <c:v>2054.9852533093563</c:v>
                </c:pt>
                <c:pt idx="5">
                  <c:v>2022.2981275773786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2F0-4219-AC11-C8A41923D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02635360"/>
        <c:axId val="-402630464"/>
      </c:scatterChart>
      <c:valAx>
        <c:axId val="-402635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0464"/>
        <c:crosses val="autoZero"/>
        <c:crossBetween val="midCat"/>
      </c:valAx>
      <c:valAx>
        <c:axId val="-402630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5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Foncier €/m² terrain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SYNTHESE!$C$99</c:f>
              <c:strCache>
                <c:ptCount val="1"/>
                <c:pt idx="0">
                  <c:v>€/m² terrain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SYNTHESE!$A$100:$A$109</c:f>
              <c:numCache>
                <c:formatCode>General</c:formatCode>
                <c:ptCount val="10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</c:numCache>
            </c:numRef>
          </c:xVal>
          <c:yVal>
            <c:numRef>
              <c:f>SYNTHESE!$C$100:$C$109</c:f>
              <c:numCache>
                <c:formatCode>_-* #\ ##0\ _€_-;\-* #\ ##0\ _€_-;_-* "-"??\ _€_-;_-@_-</c:formatCode>
                <c:ptCount val="10"/>
                <c:pt idx="0">
                  <c:v>67.395432747923024</c:v>
                </c:pt>
                <c:pt idx="1">
                  <c:v>117.773994301752</c:v>
                </c:pt>
                <c:pt idx="2">
                  <c:v>89.000541125989542</c:v>
                </c:pt>
                <c:pt idx="3">
                  <c:v>62.346417691788943</c:v>
                </c:pt>
                <c:pt idx="4">
                  <c:v>152.92496261482589</c:v>
                </c:pt>
                <c:pt idx="5">
                  <c:v>61.318688582382229</c:v>
                </c:pt>
                <c:pt idx="6">
                  <c:v>108.71306925513674</c:v>
                </c:pt>
                <c:pt idx="7">
                  <c:v>86.228043216510542</c:v>
                </c:pt>
                <c:pt idx="8">
                  <c:v>137.05611378088443</c:v>
                </c:pt>
                <c:pt idx="9">
                  <c:v>162.2090844161898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02634816"/>
        <c:axId val="-402638624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SYNTHESE!$B$99</c15:sqref>
                        </c15:formulaRef>
                      </c:ext>
                    </c:extLst>
                    <c:strCache>
                      <c:ptCount val="1"/>
                      <c:pt idx="0">
                        <c:v>€ / lgt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SYNTHESE!$A$100:$A$109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2010</c:v>
                      </c:pt>
                      <c:pt idx="1">
                        <c:v>2011</c:v>
                      </c:pt>
                      <c:pt idx="2">
                        <c:v>2012</c:v>
                      </c:pt>
                      <c:pt idx="3">
                        <c:v>2013</c:v>
                      </c:pt>
                      <c:pt idx="4">
                        <c:v>2014</c:v>
                      </c:pt>
                      <c:pt idx="5">
                        <c:v>2015</c:v>
                      </c:pt>
                      <c:pt idx="6">
                        <c:v>2016</c:v>
                      </c:pt>
                      <c:pt idx="7">
                        <c:v>2017</c:v>
                      </c:pt>
                      <c:pt idx="8">
                        <c:v>2018</c:v>
                      </c:pt>
                      <c:pt idx="9">
                        <c:v>2019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SYNTHESE!$B$100:$B$109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22486.427017543861</c:v>
                      </c:pt>
                      <c:pt idx="1">
                        <c:v>20668.457089552237</c:v>
                      </c:pt>
                      <c:pt idx="2">
                        <c:v>13425.0975</c:v>
                      </c:pt>
                      <c:pt idx="3">
                        <c:v>13305.622828784119</c:v>
                      </c:pt>
                      <c:pt idx="4">
                        <c:v>16551.254335260117</c:v>
                      </c:pt>
                      <c:pt idx="5">
                        <c:v>13379.85576923077</c:v>
                      </c:pt>
                      <c:pt idx="6">
                        <c:v>12680.366101694915</c:v>
                      </c:pt>
                      <c:pt idx="7">
                        <c:v>14389.707228554444</c:v>
                      </c:pt>
                      <c:pt idx="8">
                        <c:v>13381.483412322275</c:v>
                      </c:pt>
                      <c:pt idx="9">
                        <c:v>13001.484981969234</c:v>
                      </c:pt>
                    </c:numCache>
                  </c:numRef>
                </c:yVal>
                <c:smooth val="0"/>
              </c15:ser>
            </c15:filteredScatterSeries>
          </c:ext>
        </c:extLst>
      </c:scatterChart>
      <c:valAx>
        <c:axId val="-402634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8624"/>
        <c:crosses val="autoZero"/>
        <c:crossBetween val="midCat"/>
      </c:valAx>
      <c:valAx>
        <c:axId val="-402638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026348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13E-88BA-49B1-9CE7-0FE5B6F55D49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743-485C-85A8-46AAD4F995FD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146530017710788"/>
          <c:h val="0.560975759570668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9D65-47E6-A29B-84F0AE2A7889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5A9-4F0F-A781-AA62B7A4A083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3C8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50B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EDA-4BDF-B4D6-AED2B07C434D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3C8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50B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64E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5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B9F-452A-82DA-49E825A71C5F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5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3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initiales'!$B$153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initiales'!$C$153:$N$153</c15:sqref>
                        </c15:fullRef>
                        <c15:formulaRef>
                          <c15:sqref>('Données initiales'!$C$153,'Données initiales'!$E$153,'Données initiales'!$G$153,'Données initiales'!$I$153,'Données initiales'!$K$153,'Données initiales'!$M$153)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1</c:v>
                      </c:pt>
                      <c:pt idx="1" formatCode="General">
                        <c:v>3</c:v>
                      </c:pt>
                      <c:pt idx="2" formatCode="General">
                        <c:v>1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834F-4CA6-9848-E201B4DA109F}"/>
                  </c:ext>
                  <c:ext uri="{02D57815-91ED-43cb-92C2-25804820EDAC}">
                    <c15:categoryFilterExceptions>
                      <c15:categoryFilterException>
                        <c15:sqref>'Données initiales'!$D$153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initiales'!$B$154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initiales'!$C$154:$N$154</c15:sqref>
                        </c15:fullRef>
                        <c15:formulaRef>
                          <c15:sqref>('Données initiales'!$C$154,'Données initiales'!$E$154,'Données initiales'!$G$154,'Données initiales'!$I$154,'Données initiales'!$K$154,'Données initiales'!$M$154)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4</c:v>
                      </c:pt>
                      <c:pt idx="1" formatCode="General">
                        <c:v>4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3C8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initiales'!$D$154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initiales'!$B$155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50B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initiales'!$D$155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0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64E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5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0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791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2</c:v>
                      </c:pt>
                      <c:pt idx="1" formatCode="General">
                        <c:v>2</c:v>
                      </c:pt>
                      <c:pt idx="2" formatCode="General">
                        <c:v>0</c:v>
                      </c:pt>
                      <c:pt idx="3" formatCode="General">
                        <c:v>2</c:v>
                      </c:pt>
                      <c:pt idx="4" formatCode="General">
                        <c:v>3</c:v>
                      </c:pt>
                      <c:pt idx="5" formatCode="General">
                        <c:v>1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8D4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1</c:v>
                      </c:pt>
                      <c:pt idx="2" formatCode="General">
                        <c:v>0</c:v>
                      </c:pt>
                      <c:pt idx="3" formatCode="General">
                        <c:v>1</c:v>
                      </c:pt>
                      <c:pt idx="4" formatCode="General">
                        <c:v>1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A17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'Données initiales'!$C$152:$N$152</c15:sqref>
                        </c15:fullRef>
                        <c15:formulaRef>
                          <c15:sqref>('Données initiales'!$C$152,'Données initiales'!$E$152,'Données initiales'!$G$152,'Données initiales'!$I$152,'Données initiales'!$K$152,'Données initiales'!$M$152)</c15:sqref>
                        </c15:formulaRef>
                      </c:ext>
                    </c:extLst>
                    <c:strCache>
                      <c:ptCount val="6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6"/>
                      <c:pt idx="0" formatCode="General">
                        <c:v>0</c:v>
                      </c:pt>
                      <c:pt idx="1" formatCode="General">
                        <c:v>3</c:v>
                      </c:pt>
                      <c:pt idx="2" formatCode="General">
                        <c:v>0</c:v>
                      </c:pt>
                      <c:pt idx="3" formatCode="General">
                        <c:v>7</c:v>
                      </c:pt>
                      <c:pt idx="4" formatCode="General">
                        <c:v>0</c:v>
                      </c:pt>
                      <c:pt idx="5" formatCode="General">
                        <c:v>0</c:v>
                      </c:pt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142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2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118025</xdr:colOff>
      <xdr:row>1</xdr:row>
      <xdr:rowOff>130745</xdr:rowOff>
    </xdr:from>
    <xdr:to>
      <xdr:col>14</xdr:col>
      <xdr:colOff>422412</xdr:colOff>
      <xdr:row>15</xdr:row>
      <xdr:rowOff>171567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624168</xdr:colOff>
      <xdr:row>88</xdr:row>
      <xdr:rowOff>45944</xdr:rowOff>
    </xdr:from>
    <xdr:to>
      <xdr:col>8</xdr:col>
      <xdr:colOff>60833</xdr:colOff>
      <xdr:row>96</xdr:row>
      <xdr:rowOff>70437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435429</xdr:colOff>
      <xdr:row>98</xdr:row>
      <xdr:rowOff>79600</xdr:rowOff>
    </xdr:from>
    <xdr:to>
      <xdr:col>10</xdr:col>
      <xdr:colOff>122464</xdr:colOff>
      <xdr:row>109</xdr:row>
      <xdr:rowOff>108857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489857</xdr:colOff>
      <xdr:row>117</xdr:row>
      <xdr:rowOff>122464</xdr:rowOff>
    </xdr:from>
    <xdr:to>
      <xdr:col>8</xdr:col>
      <xdr:colOff>374756</xdr:colOff>
      <xdr:row>133</xdr:row>
      <xdr:rowOff>8164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898073</xdr:colOff>
      <xdr:row>141</xdr:row>
      <xdr:rowOff>145595</xdr:rowOff>
    </xdr:from>
    <xdr:to>
      <xdr:col>9</xdr:col>
      <xdr:colOff>272143</xdr:colOff>
      <xdr:row>156</xdr:row>
      <xdr:rowOff>81643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413817</xdr:colOff>
      <xdr:row>158</xdr:row>
      <xdr:rowOff>167208</xdr:rowOff>
    </xdr:from>
    <xdr:to>
      <xdr:col>11</xdr:col>
      <xdr:colOff>268942</xdr:colOff>
      <xdr:row>168</xdr:row>
      <xdr:rowOff>123266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425823</xdr:colOff>
      <xdr:row>170</xdr:row>
      <xdr:rowOff>11206</xdr:rowOff>
    </xdr:from>
    <xdr:to>
      <xdr:col>11</xdr:col>
      <xdr:colOff>280948</xdr:colOff>
      <xdr:row>175</xdr:row>
      <xdr:rowOff>908559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324971</xdr:colOff>
      <xdr:row>98</xdr:row>
      <xdr:rowOff>89646</xdr:rowOff>
    </xdr:from>
    <xdr:to>
      <xdr:col>13</xdr:col>
      <xdr:colOff>1019735</xdr:colOff>
      <xdr:row>109</xdr:row>
      <xdr:rowOff>134471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162</xdr:row>
      <xdr:rowOff>178377</xdr:rowOff>
    </xdr:from>
    <xdr:to>
      <xdr:col>7</xdr:col>
      <xdr:colOff>95249</xdr:colOff>
      <xdr:row>177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163</xdr:row>
      <xdr:rowOff>6</xdr:rowOff>
    </xdr:from>
    <xdr:to>
      <xdr:col>10</xdr:col>
      <xdr:colOff>1169996</xdr:colOff>
      <xdr:row>177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163</xdr:row>
      <xdr:rowOff>22512</xdr:rowOff>
    </xdr:from>
    <xdr:to>
      <xdr:col>14</xdr:col>
      <xdr:colOff>320385</xdr:colOff>
      <xdr:row>177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718703</xdr:colOff>
      <xdr:row>178</xdr:row>
      <xdr:rowOff>109103</xdr:rowOff>
    </xdr:from>
    <xdr:to>
      <xdr:col>7</xdr:col>
      <xdr:colOff>34637</xdr:colOff>
      <xdr:row>192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326571</xdr:colOff>
      <xdr:row>178</xdr:row>
      <xdr:rowOff>125185</xdr:rowOff>
    </xdr:from>
    <xdr:to>
      <xdr:col>10</xdr:col>
      <xdr:colOff>1156607</xdr:colOff>
      <xdr:row>193</xdr:row>
      <xdr:rowOff>10885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1476374</xdr:colOff>
      <xdr:row>178</xdr:row>
      <xdr:rowOff>152400</xdr:rowOff>
    </xdr:from>
    <xdr:to>
      <xdr:col>14</xdr:col>
      <xdr:colOff>357187</xdr:colOff>
      <xdr:row>193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833438</xdr:colOff>
      <xdr:row>163</xdr:row>
      <xdr:rowOff>33337</xdr:rowOff>
    </xdr:from>
    <xdr:to>
      <xdr:col>18</xdr:col>
      <xdr:colOff>642938</xdr:colOff>
      <xdr:row>177</xdr:row>
      <xdr:rowOff>109537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99:C109" totalsRowShown="0" headerRowDxfId="48">
  <autoFilter ref="A99:C109"/>
  <tableColumns count="3">
    <tableColumn id="1" name="Prog"/>
    <tableColumn id="2" name="€ / lgt" dataDxfId="47"/>
    <tableColumn id="3" name="€/m² terrain" dataDxfId="46" dataCellStyle="Milliers">
      <calculatedColumnFormula>(SUMPRODUCT(((Prog)=2010)*Px_Foncier))/(SUMPRODUCT((S_TERRAIN)*(Type&lt;&gt;"Rehab")*(Type&lt;&gt;"PLS")*((Prog)=2010)))</calculatedColumnFormula>
    </tableColumn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60:B172" totalsRowShown="0" headerRowDxfId="45">
  <autoFilter ref="A160:B172"/>
  <tableColumns count="2">
    <tableColumn id="1" name="ANNEE DE LIVRAISON" dataDxfId="44"/>
    <tableColumn id="2" name="AU LOGEMENT" dataDxfId="43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O191"/>
  <sheetViews>
    <sheetView tabSelected="1" zoomScale="85" zoomScaleNormal="85" workbookViewId="0">
      <selection activeCell="M18" sqref="M18"/>
    </sheetView>
  </sheetViews>
  <sheetFormatPr baseColWidth="10" defaultRowHeight="15"/>
  <cols>
    <col min="1" max="1" width="21" customWidth="1"/>
    <col min="2" max="2" width="14.42578125" customWidth="1"/>
    <col min="3" max="3" width="12.85546875" customWidth="1"/>
    <col min="4" max="4" width="10.85546875" customWidth="1"/>
    <col min="5" max="5" width="16" customWidth="1"/>
    <col min="6" max="12" width="10.85546875" customWidth="1"/>
    <col min="13" max="13" width="22.42578125" customWidth="1"/>
    <col min="14" max="14" width="15.42578125" customWidth="1"/>
    <col min="15" max="69" width="10.85546875" customWidth="1"/>
    <col min="70" max="70" width="6.28515625" customWidth="1"/>
    <col min="71" max="74" width="10.85546875" customWidth="1"/>
    <col min="75" max="75" width="12.140625" bestFit="1" customWidth="1"/>
  </cols>
  <sheetData>
    <row r="1" spans="1:13" ht="15.75" thickBot="1">
      <c r="A1" s="518" t="s">
        <v>919</v>
      </c>
      <c r="B1" s="519"/>
      <c r="C1" s="519"/>
      <c r="D1" s="356"/>
      <c r="E1" s="356"/>
      <c r="F1" s="356"/>
      <c r="G1" s="356"/>
      <c r="H1" s="356"/>
      <c r="I1" s="356"/>
      <c r="J1" s="356"/>
      <c r="K1" s="356"/>
      <c r="L1" s="356"/>
      <c r="M1" s="356"/>
    </row>
    <row r="2" spans="1:13">
      <c r="A2" s="343"/>
      <c r="B2" s="344"/>
      <c r="C2" s="344"/>
      <c r="D2" s="344"/>
      <c r="E2" s="344"/>
      <c r="F2" s="344"/>
      <c r="G2" s="344"/>
      <c r="H2" s="344"/>
      <c r="I2" s="344"/>
      <c r="J2" s="344"/>
      <c r="K2" s="386"/>
      <c r="L2" s="344"/>
      <c r="M2" s="345"/>
    </row>
    <row r="3" spans="1:13" s="369" customFormat="1" ht="30">
      <c r="A3" s="380"/>
      <c r="B3" s="381" t="s">
        <v>362</v>
      </c>
      <c r="C3" s="421" t="s">
        <v>604</v>
      </c>
      <c r="D3" s="382" t="s">
        <v>363</v>
      </c>
      <c r="E3" s="422" t="s">
        <v>604</v>
      </c>
      <c r="F3" s="383"/>
      <c r="G3" s="383"/>
      <c r="H3" s="383"/>
      <c r="I3" s="383"/>
      <c r="J3" s="383"/>
      <c r="K3" s="383"/>
      <c r="L3" s="383"/>
      <c r="M3" s="384"/>
    </row>
    <row r="4" spans="1:13">
      <c r="A4" s="347">
        <v>2011</v>
      </c>
      <c r="B4" s="348">
        <f>SUMPRODUCT((YEAR(OS)=2011)*Nlgts)</f>
        <v>127</v>
      </c>
      <c r="C4" s="423">
        <f>SUMIF(Annee_OS,SYNTHESE!A4,[0]!Nlgts)</f>
        <v>127</v>
      </c>
      <c r="D4" s="431">
        <f>SUMPRODUCT((YEAR(Livraison)=2011)*(Nlgts))</f>
        <v>0</v>
      </c>
      <c r="E4" s="424">
        <f>SUMIF(Annee_Inaug,SYNTHESE!A4,[0]!Nlgts)</f>
        <v>0</v>
      </c>
      <c r="F4" s="344"/>
      <c r="G4" s="344"/>
      <c r="H4" s="344"/>
      <c r="I4" s="344"/>
      <c r="J4" s="344"/>
      <c r="K4" s="344"/>
      <c r="L4" s="344"/>
      <c r="M4" s="345"/>
    </row>
    <row r="5" spans="1:13">
      <c r="A5" s="347">
        <v>2012</v>
      </c>
      <c r="B5" s="348">
        <f>SUMPRODUCT((YEAR(OS)=2012)*Nlgts)</f>
        <v>64</v>
      </c>
      <c r="C5" s="423">
        <f>SUMIF(Annee_OS,SYNTHESE!A5,[0]!Nlgts)</f>
        <v>64</v>
      </c>
      <c r="D5" s="431">
        <f>SUMPRODUCT((YEAR(Livraison)=2012)*(Nlgts))</f>
        <v>0</v>
      </c>
      <c r="E5" s="424">
        <f>SUMIF(Annee_Inaug,SYNTHESE!A5,[0]!Nlgts)</f>
        <v>0</v>
      </c>
      <c r="F5" s="344"/>
      <c r="G5" s="344"/>
      <c r="H5" s="344"/>
      <c r="I5" s="344"/>
      <c r="J5" s="344"/>
      <c r="K5" s="344"/>
      <c r="L5" s="344"/>
      <c r="M5" s="345"/>
    </row>
    <row r="6" spans="1:13">
      <c r="A6" s="347">
        <v>2013</v>
      </c>
      <c r="B6" s="348">
        <f>SUMPRODUCT((YEAR(OS)=2013)*Nlgts)</f>
        <v>400</v>
      </c>
      <c r="C6" s="423">
        <f>SUMIF(Annee_OS,SYNTHESE!A6,[0]!Nlgts)</f>
        <v>400</v>
      </c>
      <c r="D6" s="431">
        <f>SUMPRODUCT((YEAR(Livraison)=2013)*(Nlgts))</f>
        <v>70</v>
      </c>
      <c r="E6" s="424">
        <f>SUMIF(Annee_Inaug,SYNTHESE!A6,[0]!Nlgts)</f>
        <v>70</v>
      </c>
      <c r="F6" s="344"/>
      <c r="G6" s="344"/>
      <c r="H6" s="344"/>
      <c r="I6" s="344"/>
      <c r="J6" s="344"/>
      <c r="K6" s="344"/>
      <c r="L6" s="344"/>
      <c r="M6" s="345"/>
    </row>
    <row r="7" spans="1:13">
      <c r="A7" s="347">
        <v>2014</v>
      </c>
      <c r="B7" s="348">
        <f>SUMPRODUCT((YEAR(OS)=2014)*Nlgts)</f>
        <v>278</v>
      </c>
      <c r="C7" s="423">
        <f>SUMIF(Annee_OS,SYNTHESE!A7,[0]!Nlgts)</f>
        <v>278</v>
      </c>
      <c r="D7" s="431">
        <f>SUMPRODUCT((YEAR(Livraison)=2014)*(Nlgts))</f>
        <v>226</v>
      </c>
      <c r="E7" s="424">
        <f>SUMIF(Annee_Inaug,SYNTHESE!A7,[0]!Nlgts)</f>
        <v>226</v>
      </c>
      <c r="F7" s="344"/>
      <c r="G7" s="344"/>
      <c r="H7" s="344"/>
      <c r="I7" s="344"/>
      <c r="J7" s="344"/>
      <c r="K7" s="344"/>
      <c r="L7" s="344"/>
      <c r="M7" s="345"/>
    </row>
    <row r="8" spans="1:13">
      <c r="A8" s="347">
        <v>2015</v>
      </c>
      <c r="B8" s="348">
        <f>SUMPRODUCT((YEAR(OS)=2015)*Nlgts)</f>
        <v>222</v>
      </c>
      <c r="C8" s="423">
        <f>SUMIF(Annee_OS,SYNTHESE!A8,[0]!Nlgts)</f>
        <v>222</v>
      </c>
      <c r="D8" s="431">
        <f>SUMPRODUCT((YEAR(Livraison)=2015)*(Nlgts))</f>
        <v>181</v>
      </c>
      <c r="E8" s="424">
        <f>SUMIF(Annee_Inaug,SYNTHESE!A8,[0]!Nlgts)</f>
        <v>181</v>
      </c>
      <c r="F8" s="344"/>
      <c r="G8" s="344"/>
      <c r="H8" s="344"/>
      <c r="I8" s="344"/>
      <c r="J8" s="344"/>
      <c r="K8" s="344"/>
      <c r="L8" s="344"/>
      <c r="M8" s="345"/>
    </row>
    <row r="9" spans="1:13">
      <c r="A9" s="347">
        <v>2016</v>
      </c>
      <c r="B9" s="348">
        <f>SUMPRODUCT((YEAR(OS)=2016)*(Nlgts))</f>
        <v>48</v>
      </c>
      <c r="C9" s="423">
        <f>SUMIF(Annee_OS,SYNTHESE!A9,[0]!Nlgts)</f>
        <v>48</v>
      </c>
      <c r="D9" s="431">
        <f>SUMPRODUCT((YEAR(Livraison)=2016)*(Nlgts))</f>
        <v>244</v>
      </c>
      <c r="E9" s="424">
        <f>SUMIF(Annee_Inaug,SYNTHESE!A9,[0]!Nlgts)</f>
        <v>244</v>
      </c>
      <c r="G9" s="344"/>
      <c r="H9" s="344"/>
      <c r="I9" s="344"/>
      <c r="J9" s="344"/>
      <c r="K9" s="344"/>
      <c r="L9" s="344"/>
      <c r="M9" s="345"/>
    </row>
    <row r="10" spans="1:13" ht="15.75" thickBot="1">
      <c r="A10" s="347">
        <v>2017</v>
      </c>
      <c r="B10" s="348">
        <f>SUMPRODUCT((YEAR(OS)=2017)*Nlgts)</f>
        <v>481</v>
      </c>
      <c r="C10" s="423">
        <f>SUMIF(Annee_OS,SYNTHESE!A10,[0]!Nlgts)</f>
        <v>481</v>
      </c>
      <c r="D10" s="431">
        <f>SUMPRODUCT((YEAR(Livraison)=2017)*(Nlgts))</f>
        <v>336</v>
      </c>
      <c r="E10" s="424">
        <f>SUMIF(Annee_Inaug,SYNTHESE!A10,[0]!Nlgts)</f>
        <v>336</v>
      </c>
      <c r="F10" s="344"/>
      <c r="G10" s="344"/>
      <c r="H10" s="344"/>
      <c r="I10" s="344"/>
      <c r="J10" s="344"/>
      <c r="K10" s="344"/>
      <c r="L10" s="344"/>
      <c r="M10" s="345"/>
    </row>
    <row r="11" spans="1:13" ht="15.75" thickBot="1">
      <c r="A11" s="427">
        <v>2018</v>
      </c>
      <c r="B11" s="428">
        <f>SUMPRODUCT((YEAR(OS)=2018)*Nlgts)</f>
        <v>839</v>
      </c>
      <c r="C11" s="429">
        <f>SUMIF(Annee_OS,SYNTHESE!A11,[0]!Nlgts)</f>
        <v>142</v>
      </c>
      <c r="D11" s="432">
        <f>SUMPRODUCT((YEAR(Livraison)=2018)*(Nlgts))</f>
        <v>238</v>
      </c>
      <c r="E11" s="430">
        <f>SUMIF(Annee_Inaug,SYNTHESE!A11,[0]!Nlgts)</f>
        <v>0</v>
      </c>
      <c r="F11" s="344"/>
      <c r="G11" s="344"/>
      <c r="H11" s="344"/>
      <c r="I11" s="344"/>
      <c r="J11" s="344"/>
      <c r="K11" s="344"/>
      <c r="L11" s="344"/>
      <c r="M11" s="345"/>
    </row>
    <row r="12" spans="1:13">
      <c r="A12" s="349">
        <v>2019</v>
      </c>
      <c r="B12" s="348">
        <f>SUMPRODUCT((YEAR(OS)=2019)*Nlgts)</f>
        <v>516</v>
      </c>
      <c r="C12" s="423">
        <f>SUMIF(Annee_OS,SYNTHESE!A12,[0]!Nlgts)</f>
        <v>0</v>
      </c>
      <c r="D12" s="431">
        <f>SUMPRODUCT((YEAR(Livraison)=2019)*(Nlgts))</f>
        <v>814</v>
      </c>
      <c r="E12" s="424">
        <f>SUMIF(Annee_Inaug,SYNTHESE!A12,[0]!Nlgts)</f>
        <v>0</v>
      </c>
      <c r="F12" s="344"/>
      <c r="G12" s="344"/>
      <c r="H12" s="344"/>
      <c r="I12" s="344"/>
      <c r="J12" s="344"/>
      <c r="K12" s="344"/>
      <c r="L12" s="344"/>
      <c r="M12" s="345"/>
    </row>
    <row r="13" spans="1:13">
      <c r="A13" s="349">
        <v>2020</v>
      </c>
      <c r="B13" s="348">
        <f>SUMPRODUCT((YEAR(OS)=2020)*Nlgts)</f>
        <v>336</v>
      </c>
      <c r="C13" s="423">
        <f>SUMIF(Annee_OS,SYNTHESE!A13,[0]!Nlgts)</f>
        <v>0</v>
      </c>
      <c r="D13" s="431">
        <f>SUMPRODUCT((YEAR(Livraison)=2020)*(Nlgts))</f>
        <v>755</v>
      </c>
      <c r="E13" s="424">
        <f>SUMIF(Annee_Inaug,SYNTHESE!A13,[0]!Nlgts)</f>
        <v>0</v>
      </c>
      <c r="F13" s="344"/>
      <c r="G13" s="344"/>
      <c r="H13" s="344"/>
      <c r="I13" s="344"/>
      <c r="J13" s="344"/>
      <c r="K13" s="344"/>
      <c r="L13" s="344"/>
      <c r="M13" s="345"/>
    </row>
    <row r="14" spans="1:13">
      <c r="A14" s="349">
        <v>2021</v>
      </c>
      <c r="B14" s="348">
        <f>SUMPRODUCT((YEAR(OS)=2021)*Nlgts)</f>
        <v>0</v>
      </c>
      <c r="C14" s="423">
        <f>SUMIF(Annee_OS,SYNTHESE!A14,[0]!Nlgts)</f>
        <v>0</v>
      </c>
      <c r="D14" s="431">
        <f>SUMPRODUCT((YEAR(Livraison)=2021)*(Nlgts))</f>
        <v>387</v>
      </c>
      <c r="E14" s="424">
        <f>SUMIF(Annee_Inaug,SYNTHESE!A14,[0]!Nlgts)</f>
        <v>0</v>
      </c>
      <c r="F14" s="344"/>
      <c r="G14" s="344"/>
      <c r="H14" s="344"/>
      <c r="I14" s="344"/>
      <c r="J14" s="344"/>
      <c r="K14" s="344"/>
      <c r="L14" s="344"/>
      <c r="M14" s="345"/>
    </row>
    <row r="15" spans="1:13">
      <c r="A15" s="346"/>
      <c r="B15" s="350">
        <f>SUM(B4:B13)</f>
        <v>3311</v>
      </c>
      <c r="C15" s="425">
        <f>SUM(C4:C13)</f>
        <v>1762</v>
      </c>
      <c r="D15" s="351">
        <f>SUM(D4:D13)</f>
        <v>2864</v>
      </c>
      <c r="E15" s="426">
        <f>SUM(E4:E13)</f>
        <v>1057</v>
      </c>
      <c r="F15" s="344"/>
      <c r="G15" s="344"/>
      <c r="H15" s="344"/>
      <c r="I15" s="344"/>
      <c r="J15" s="344"/>
      <c r="K15" s="344"/>
      <c r="L15" s="344"/>
      <c r="M15" s="345"/>
    </row>
    <row r="16" spans="1:13">
      <c r="A16" s="346"/>
      <c r="B16" s="344"/>
      <c r="C16" s="344"/>
      <c r="D16" s="344"/>
      <c r="E16" s="344"/>
      <c r="F16" s="344"/>
      <c r="G16" s="344"/>
      <c r="H16" s="344"/>
      <c r="I16" s="344"/>
      <c r="J16" s="344"/>
      <c r="K16" s="344"/>
      <c r="L16" s="344"/>
      <c r="M16" s="345"/>
    </row>
    <row r="17" spans="1:13" ht="15.75" thickBot="1">
      <c r="A17" s="346"/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5"/>
    </row>
    <row r="18" spans="1:13" ht="30.75" thickBot="1">
      <c r="A18" s="545" t="s">
        <v>917</v>
      </c>
      <c r="B18" s="543">
        <v>2010</v>
      </c>
      <c r="C18" s="26">
        <v>2011</v>
      </c>
      <c r="D18" s="26">
        <v>2012</v>
      </c>
      <c r="E18" s="26">
        <v>2013</v>
      </c>
      <c r="F18" s="544">
        <v>2014</v>
      </c>
      <c r="G18" s="544">
        <v>2015</v>
      </c>
      <c r="H18" s="544">
        <v>2016</v>
      </c>
      <c r="I18" s="544">
        <v>2017</v>
      </c>
      <c r="J18" s="544">
        <v>2018</v>
      </c>
      <c r="K18" s="344"/>
      <c r="L18" s="344"/>
      <c r="M18" s="345"/>
    </row>
    <row r="19" spans="1:13">
      <c r="A19" s="388">
        <v>2011</v>
      </c>
      <c r="B19" s="523">
        <f t="shared" ref="B19:B26" si="0">SUMPRODUCT(((Prog=$B$18)*Nlgts)*(YEAR(OS)=A19))</f>
        <v>27</v>
      </c>
      <c r="C19" s="546">
        <f t="shared" ref="C19:C26" si="1">SUMPRODUCT(((Prog=$C$18)*Nlgts)*(YEAR(OS)=A19))</f>
        <v>100</v>
      </c>
      <c r="D19" s="551">
        <f t="shared" ref="D19:D26" si="2">SUMPRODUCT(((Prog=$D$18)*Nlgts)*(YEAR(OS)=A19))</f>
        <v>0</v>
      </c>
      <c r="E19" s="551">
        <f t="shared" ref="E19:E26" si="3">SUMPRODUCT(((Prog=$E$18)*Nlgts)*(YEAR(OS)=A19))</f>
        <v>0</v>
      </c>
      <c r="F19" s="551">
        <f t="shared" ref="F19:F26" si="4">SUMPRODUCT(((Prog=$F$18)*Nlgts)*(YEAR(OS)=A19))</f>
        <v>0</v>
      </c>
      <c r="G19" s="551">
        <f t="shared" ref="G19:G28" si="5">SUMPRODUCT(((Prog=$G$18)*Nlgts)*(YEAR(OS)=A19))</f>
        <v>0</v>
      </c>
      <c r="H19" s="551">
        <f t="shared" ref="H19:H27" si="6">SUMPRODUCT(((Prog=$H$18)*Nlgts)*(YEAR(OS)=A19))</f>
        <v>0</v>
      </c>
      <c r="I19" s="551">
        <f t="shared" ref="I19:I27" si="7">SUMPRODUCT(((Prog=$I$18)*Nlgts)*(YEAR(OS)=A19))</f>
        <v>0</v>
      </c>
      <c r="J19" s="551">
        <f t="shared" ref="J19:J28" si="8">SUMPRODUCT(((Prog=$J$18)*Nlgts)*(YEAR(OS)=A19))</f>
        <v>0</v>
      </c>
      <c r="K19" s="344"/>
      <c r="L19" s="344"/>
      <c r="M19" s="345"/>
    </row>
    <row r="20" spans="1:13">
      <c r="A20" s="539">
        <v>2012</v>
      </c>
      <c r="B20" s="524">
        <f t="shared" si="0"/>
        <v>30</v>
      </c>
      <c r="C20" s="547">
        <f t="shared" si="1"/>
        <v>34</v>
      </c>
      <c r="D20" s="549">
        <f t="shared" si="2"/>
        <v>0</v>
      </c>
      <c r="E20" s="549">
        <f t="shared" si="3"/>
        <v>0</v>
      </c>
      <c r="F20" s="549">
        <f t="shared" si="4"/>
        <v>0</v>
      </c>
      <c r="G20" s="549">
        <f t="shared" si="5"/>
        <v>0</v>
      </c>
      <c r="H20" s="549">
        <f t="shared" si="6"/>
        <v>0</v>
      </c>
      <c r="I20" s="549">
        <f t="shared" si="7"/>
        <v>0</v>
      </c>
      <c r="J20" s="549">
        <f t="shared" si="8"/>
        <v>0</v>
      </c>
      <c r="K20" s="344"/>
      <c r="L20" s="344"/>
      <c r="M20" s="345"/>
    </row>
    <row r="21" spans="1:13">
      <c r="A21" s="539">
        <v>2013</v>
      </c>
      <c r="B21" s="540">
        <f t="shared" si="0"/>
        <v>0</v>
      </c>
      <c r="C21" s="549">
        <f t="shared" si="1"/>
        <v>0</v>
      </c>
      <c r="D21" s="547">
        <f t="shared" si="2"/>
        <v>400</v>
      </c>
      <c r="E21" s="549">
        <f t="shared" si="3"/>
        <v>0</v>
      </c>
      <c r="F21" s="549">
        <f t="shared" si="4"/>
        <v>0</v>
      </c>
      <c r="G21" s="549">
        <f t="shared" si="5"/>
        <v>0</v>
      </c>
      <c r="H21" s="549">
        <f t="shared" si="6"/>
        <v>0</v>
      </c>
      <c r="I21" s="549">
        <f t="shared" si="7"/>
        <v>0</v>
      </c>
      <c r="J21" s="549">
        <f t="shared" si="8"/>
        <v>0</v>
      </c>
      <c r="K21" s="344"/>
      <c r="L21" s="344">
        <f>2325000/17</f>
        <v>136764.70588235295</v>
      </c>
      <c r="M21" s="345"/>
    </row>
    <row r="22" spans="1:13">
      <c r="A22" s="539">
        <v>2014</v>
      </c>
      <c r="B22" s="540">
        <f t="shared" si="0"/>
        <v>0</v>
      </c>
      <c r="C22" s="549">
        <f t="shared" si="1"/>
        <v>0</v>
      </c>
      <c r="D22" s="549">
        <f t="shared" si="2"/>
        <v>0</v>
      </c>
      <c r="E22" s="547">
        <f t="shared" si="3"/>
        <v>278</v>
      </c>
      <c r="F22" s="549">
        <f t="shared" si="4"/>
        <v>0</v>
      </c>
      <c r="G22" s="549">
        <f t="shared" si="5"/>
        <v>0</v>
      </c>
      <c r="H22" s="549">
        <f t="shared" si="6"/>
        <v>0</v>
      </c>
      <c r="I22" s="549">
        <f t="shared" si="7"/>
        <v>0</v>
      </c>
      <c r="J22" s="549">
        <f t="shared" si="8"/>
        <v>0</v>
      </c>
      <c r="K22" s="344"/>
      <c r="L22" s="344"/>
      <c r="M22" s="345"/>
    </row>
    <row r="23" spans="1:13">
      <c r="A23" s="539">
        <v>2015</v>
      </c>
      <c r="B23" s="540">
        <f t="shared" si="0"/>
        <v>0</v>
      </c>
      <c r="C23" s="549">
        <f t="shared" si="1"/>
        <v>0</v>
      </c>
      <c r="D23" s="549">
        <f t="shared" si="2"/>
        <v>0</v>
      </c>
      <c r="E23" s="547">
        <f t="shared" si="3"/>
        <v>125</v>
      </c>
      <c r="F23" s="547">
        <f t="shared" si="4"/>
        <v>97</v>
      </c>
      <c r="G23" s="549">
        <f t="shared" si="5"/>
        <v>0</v>
      </c>
      <c r="H23" s="549">
        <f t="shared" si="6"/>
        <v>0</v>
      </c>
      <c r="I23" s="549">
        <f t="shared" si="7"/>
        <v>0</v>
      </c>
      <c r="J23" s="549">
        <f t="shared" si="8"/>
        <v>0</v>
      </c>
      <c r="K23" s="344"/>
      <c r="L23" s="344"/>
      <c r="M23" s="345"/>
    </row>
    <row r="24" spans="1:13">
      <c r="A24" s="539">
        <v>2016</v>
      </c>
      <c r="B24" s="540">
        <f t="shared" si="0"/>
        <v>0</v>
      </c>
      <c r="C24" s="549">
        <f t="shared" si="1"/>
        <v>0</v>
      </c>
      <c r="D24" s="549">
        <f t="shared" si="2"/>
        <v>0</v>
      </c>
      <c r="E24" s="549">
        <f t="shared" si="3"/>
        <v>0</v>
      </c>
      <c r="F24" s="547">
        <f t="shared" si="4"/>
        <v>25</v>
      </c>
      <c r="G24" s="549">
        <f t="shared" si="5"/>
        <v>0</v>
      </c>
      <c r="H24" s="547">
        <f t="shared" si="6"/>
        <v>23</v>
      </c>
      <c r="I24" s="549">
        <f t="shared" si="7"/>
        <v>0</v>
      </c>
      <c r="J24" s="549">
        <f t="shared" si="8"/>
        <v>0</v>
      </c>
      <c r="K24" s="344"/>
      <c r="L24" s="344"/>
      <c r="M24" s="345"/>
    </row>
    <row r="25" spans="1:13">
      <c r="A25" s="539">
        <v>2017</v>
      </c>
      <c r="B25" s="540">
        <f t="shared" si="0"/>
        <v>0</v>
      </c>
      <c r="C25" s="549">
        <f t="shared" si="1"/>
        <v>0</v>
      </c>
      <c r="D25" s="549">
        <f t="shared" si="2"/>
        <v>0</v>
      </c>
      <c r="E25" s="549">
        <f t="shared" si="3"/>
        <v>0</v>
      </c>
      <c r="F25" s="547">
        <f t="shared" si="4"/>
        <v>51</v>
      </c>
      <c r="G25" s="547">
        <f t="shared" si="5"/>
        <v>170</v>
      </c>
      <c r="H25" s="547">
        <f t="shared" si="6"/>
        <v>30</v>
      </c>
      <c r="I25" s="547">
        <f t="shared" si="7"/>
        <v>230</v>
      </c>
      <c r="J25" s="549">
        <f t="shared" si="8"/>
        <v>0</v>
      </c>
      <c r="K25" s="344"/>
      <c r="L25" s="344"/>
      <c r="M25" s="345"/>
    </row>
    <row r="26" spans="1:13">
      <c r="A26" s="539">
        <v>2018</v>
      </c>
      <c r="B26" s="540">
        <f t="shared" si="0"/>
        <v>0</v>
      </c>
      <c r="C26" s="549">
        <f t="shared" si="1"/>
        <v>0</v>
      </c>
      <c r="D26" s="549">
        <f t="shared" si="2"/>
        <v>0</v>
      </c>
      <c r="E26" s="549">
        <f t="shared" si="3"/>
        <v>0</v>
      </c>
      <c r="F26" s="549">
        <f t="shared" si="4"/>
        <v>0</v>
      </c>
      <c r="G26" s="815">
        <f t="shared" si="5"/>
        <v>38</v>
      </c>
      <c r="H26" s="547">
        <f t="shared" si="6"/>
        <v>242</v>
      </c>
      <c r="I26" s="547">
        <f t="shared" si="7"/>
        <v>503</v>
      </c>
      <c r="J26" s="547">
        <f t="shared" si="8"/>
        <v>56</v>
      </c>
      <c r="K26" s="344"/>
      <c r="L26" s="344"/>
      <c r="M26" s="345"/>
    </row>
    <row r="27" spans="1:13">
      <c r="A27" s="539">
        <v>2019</v>
      </c>
      <c r="B27" s="540"/>
      <c r="C27" s="549"/>
      <c r="D27" s="549"/>
      <c r="E27" s="549"/>
      <c r="F27" s="549"/>
      <c r="G27" s="549">
        <f t="shared" si="5"/>
        <v>0</v>
      </c>
      <c r="H27" s="549">
        <f t="shared" si="6"/>
        <v>0</v>
      </c>
      <c r="I27" s="549">
        <f t="shared" si="7"/>
        <v>0</v>
      </c>
      <c r="J27" s="547">
        <f t="shared" si="8"/>
        <v>370</v>
      </c>
      <c r="K27" s="344"/>
      <c r="L27" s="344"/>
      <c r="M27" s="345"/>
    </row>
    <row r="28" spans="1:13" ht="15.75" thickBot="1">
      <c r="A28" s="541">
        <v>2020</v>
      </c>
      <c r="B28" s="542"/>
      <c r="C28" s="550"/>
      <c r="D28" s="550"/>
      <c r="E28" s="550"/>
      <c r="F28" s="550"/>
      <c r="G28" s="550">
        <f t="shared" si="5"/>
        <v>0</v>
      </c>
      <c r="H28" s="550"/>
      <c r="I28" s="550"/>
      <c r="J28" s="548">
        <f t="shared" si="8"/>
        <v>0</v>
      </c>
      <c r="K28" s="344"/>
      <c r="L28" s="344"/>
      <c r="M28" s="345"/>
    </row>
    <row r="29" spans="1:13" ht="15.75" thickBot="1">
      <c r="A29" s="812"/>
      <c r="B29" s="813"/>
      <c r="C29" s="814"/>
      <c r="D29" s="814"/>
      <c r="E29" s="814"/>
      <c r="F29" s="814"/>
      <c r="G29" s="814"/>
      <c r="H29" s="814"/>
      <c r="I29" s="814"/>
      <c r="J29" s="344"/>
      <c r="K29" s="344"/>
      <c r="L29" s="344"/>
      <c r="M29" s="345"/>
    </row>
    <row r="30" spans="1:13" s="5" customFormat="1" ht="30.75" thickBot="1">
      <c r="A30" s="545" t="s">
        <v>918</v>
      </c>
      <c r="B30" s="543">
        <v>2010</v>
      </c>
      <c r="C30" s="26">
        <v>2011</v>
      </c>
      <c r="D30" s="26">
        <v>2012</v>
      </c>
      <c r="E30" s="26">
        <v>2013</v>
      </c>
      <c r="F30" s="544">
        <v>2014</v>
      </c>
      <c r="G30" s="544">
        <v>2015</v>
      </c>
      <c r="H30" s="544">
        <v>2016</v>
      </c>
      <c r="I30" s="544">
        <v>2017</v>
      </c>
      <c r="J30" s="544">
        <v>2018</v>
      </c>
      <c r="K30" s="533"/>
      <c r="L30" s="533"/>
      <c r="M30" s="534"/>
    </row>
    <row r="31" spans="1:13">
      <c r="A31" s="539">
        <v>2013</v>
      </c>
      <c r="B31" s="524">
        <f t="shared" ref="B31:B37" si="9">SUMPRODUCT(((Prog=$B$30)*Nlgts)*(YEAR(Livraison)=A31))</f>
        <v>27</v>
      </c>
      <c r="C31" s="524">
        <f t="shared" ref="C31:C37" si="10">SUMPRODUCT(((Prog=$C$30)*Nlgts)*(YEAR(Livraison)=A31))</f>
        <v>43</v>
      </c>
      <c r="D31" s="540">
        <f t="shared" ref="D31:D37" si="11">SUMPRODUCT(((Prog=$D$30)*Nlgts)*(YEAR(Livraison)=A31))</f>
        <v>0</v>
      </c>
      <c r="E31" s="540">
        <f t="shared" ref="E31:E37" si="12">SUMPRODUCT(((Prog=$E$30)*Nlgts)*(YEAR(Livraison)=A31))</f>
        <v>0</v>
      </c>
      <c r="F31" s="540">
        <f t="shared" ref="F31:F39" si="13">SUMPRODUCT(((Prog=$F$30)*Nlgts)*(YEAR(Livraison)=A31))</f>
        <v>0</v>
      </c>
      <c r="G31" s="540">
        <f t="shared" ref="G31:G39" si="14">SUMPRODUCT(((Prog=$G$30)*Nlgts)*(YEAR(Livraison)=A31))</f>
        <v>0</v>
      </c>
      <c r="H31" s="540">
        <f t="shared" ref="H31:H39" si="15">SUMPRODUCT(((Prog=$H$30)*Nlgts)*(YEAR(Livraison)=A31))</f>
        <v>0</v>
      </c>
      <c r="I31" s="540">
        <f t="shared" ref="I31:I39" si="16">SUMPRODUCT(((Prog=$I$30)*Nlgts)*(YEAR(Livraison)=A31))</f>
        <v>0</v>
      </c>
      <c r="J31" s="540">
        <f t="shared" ref="J31:J39" si="17">SUMPRODUCT(((Prog=$J$30)*Nlgts)*(YEAR(Livraison)=A31))</f>
        <v>0</v>
      </c>
      <c r="K31" s="344"/>
      <c r="L31" s="344"/>
      <c r="M31" s="345"/>
    </row>
    <row r="32" spans="1:13">
      <c r="A32" s="539">
        <v>2014</v>
      </c>
      <c r="B32" s="524">
        <f t="shared" si="9"/>
        <v>30</v>
      </c>
      <c r="C32" s="524">
        <f t="shared" si="10"/>
        <v>91</v>
      </c>
      <c r="D32" s="524">
        <f t="shared" si="11"/>
        <v>105</v>
      </c>
      <c r="E32" s="540">
        <f t="shared" si="12"/>
        <v>0</v>
      </c>
      <c r="F32" s="540">
        <f t="shared" si="13"/>
        <v>0</v>
      </c>
      <c r="G32" s="540">
        <f t="shared" si="14"/>
        <v>0</v>
      </c>
      <c r="H32" s="540">
        <f t="shared" si="15"/>
        <v>0</v>
      </c>
      <c r="I32" s="540">
        <f t="shared" si="16"/>
        <v>0</v>
      </c>
      <c r="J32" s="540">
        <f t="shared" si="17"/>
        <v>0</v>
      </c>
      <c r="K32" s="344"/>
      <c r="L32" s="344"/>
      <c r="M32" s="345"/>
    </row>
    <row r="33" spans="1:15">
      <c r="A33" s="539">
        <v>2015</v>
      </c>
      <c r="B33" s="540">
        <f t="shared" si="9"/>
        <v>0</v>
      </c>
      <c r="C33" s="540">
        <f t="shared" si="10"/>
        <v>0</v>
      </c>
      <c r="D33" s="524">
        <f t="shared" si="11"/>
        <v>167</v>
      </c>
      <c r="E33" s="524">
        <f t="shared" si="12"/>
        <v>14</v>
      </c>
      <c r="F33" s="540">
        <f t="shared" si="13"/>
        <v>0</v>
      </c>
      <c r="G33" s="540">
        <f t="shared" si="14"/>
        <v>0</v>
      </c>
      <c r="H33" s="540">
        <f t="shared" si="15"/>
        <v>0</v>
      </c>
      <c r="I33" s="540">
        <f t="shared" si="16"/>
        <v>0</v>
      </c>
      <c r="J33" s="540">
        <f t="shared" si="17"/>
        <v>0</v>
      </c>
      <c r="K33" s="344"/>
      <c r="L33" s="344"/>
      <c r="M33" s="345"/>
    </row>
    <row r="34" spans="1:15">
      <c r="A34" s="539">
        <v>2016</v>
      </c>
      <c r="B34" s="540">
        <f t="shared" si="9"/>
        <v>0</v>
      </c>
      <c r="C34" s="540">
        <f t="shared" si="10"/>
        <v>0</v>
      </c>
      <c r="D34" s="524">
        <f t="shared" si="11"/>
        <v>63</v>
      </c>
      <c r="E34" s="524">
        <f t="shared" si="12"/>
        <v>134</v>
      </c>
      <c r="F34" s="524">
        <f t="shared" si="13"/>
        <v>47</v>
      </c>
      <c r="G34" s="540">
        <f t="shared" si="14"/>
        <v>0</v>
      </c>
      <c r="H34" s="540">
        <f t="shared" si="15"/>
        <v>0</v>
      </c>
      <c r="I34" s="540">
        <f t="shared" si="16"/>
        <v>0</v>
      </c>
      <c r="J34" s="540">
        <f t="shared" si="17"/>
        <v>0</v>
      </c>
      <c r="K34" s="344"/>
      <c r="L34" s="344"/>
      <c r="M34" s="345"/>
    </row>
    <row r="35" spans="1:15">
      <c r="A35" s="539">
        <v>2017</v>
      </c>
      <c r="B35" s="540">
        <f t="shared" si="9"/>
        <v>0</v>
      </c>
      <c r="C35" s="540">
        <f t="shared" si="10"/>
        <v>0</v>
      </c>
      <c r="D35" s="524">
        <f t="shared" si="11"/>
        <v>65</v>
      </c>
      <c r="E35" s="524">
        <f t="shared" si="12"/>
        <v>255</v>
      </c>
      <c r="F35" s="524">
        <f t="shared" si="13"/>
        <v>16</v>
      </c>
      <c r="G35" s="540">
        <f t="shared" si="14"/>
        <v>0</v>
      </c>
      <c r="H35" s="540">
        <f t="shared" si="15"/>
        <v>0</v>
      </c>
      <c r="I35" s="540">
        <f t="shared" si="16"/>
        <v>0</v>
      </c>
      <c r="J35" s="540">
        <f t="shared" si="17"/>
        <v>0</v>
      </c>
      <c r="K35" s="344"/>
      <c r="L35" s="344"/>
      <c r="M35" s="345"/>
    </row>
    <row r="36" spans="1:15">
      <c r="A36" s="539">
        <v>2018</v>
      </c>
      <c r="B36" s="540">
        <f t="shared" si="9"/>
        <v>0</v>
      </c>
      <c r="C36" s="540">
        <f t="shared" si="10"/>
        <v>0</v>
      </c>
      <c r="D36" s="540">
        <f t="shared" si="11"/>
        <v>0</v>
      </c>
      <c r="E36" s="540">
        <f t="shared" si="12"/>
        <v>0</v>
      </c>
      <c r="F36" s="524">
        <f t="shared" si="13"/>
        <v>89</v>
      </c>
      <c r="G36" s="524">
        <f t="shared" si="14"/>
        <v>96</v>
      </c>
      <c r="H36" s="524">
        <f t="shared" si="15"/>
        <v>53</v>
      </c>
      <c r="I36" s="540">
        <f t="shared" si="16"/>
        <v>0</v>
      </c>
      <c r="J36" s="540">
        <f t="shared" si="17"/>
        <v>0</v>
      </c>
      <c r="K36" s="344"/>
      <c r="L36" s="344"/>
      <c r="M36" s="345"/>
    </row>
    <row r="37" spans="1:15">
      <c r="A37" s="539">
        <v>2019</v>
      </c>
      <c r="B37" s="540">
        <f t="shared" si="9"/>
        <v>0</v>
      </c>
      <c r="C37" s="540">
        <f t="shared" si="10"/>
        <v>0</v>
      </c>
      <c r="D37" s="540">
        <f t="shared" si="11"/>
        <v>0</v>
      </c>
      <c r="E37" s="540">
        <f t="shared" si="12"/>
        <v>0</v>
      </c>
      <c r="F37" s="524">
        <f t="shared" si="13"/>
        <v>21</v>
      </c>
      <c r="G37" s="524">
        <f t="shared" si="14"/>
        <v>92</v>
      </c>
      <c r="H37" s="524">
        <f t="shared" si="15"/>
        <v>121</v>
      </c>
      <c r="I37" s="524">
        <f t="shared" si="16"/>
        <v>580</v>
      </c>
      <c r="J37" s="524">
        <f t="shared" si="17"/>
        <v>0</v>
      </c>
      <c r="K37" s="344"/>
      <c r="L37" s="344"/>
      <c r="M37" s="345"/>
    </row>
    <row r="38" spans="1:15">
      <c r="A38" s="539">
        <v>2020</v>
      </c>
      <c r="B38" s="540"/>
      <c r="C38" s="540"/>
      <c r="D38" s="540"/>
      <c r="E38" s="540"/>
      <c r="F38" s="540">
        <f t="shared" si="13"/>
        <v>0</v>
      </c>
      <c r="G38" s="540">
        <f t="shared" si="14"/>
        <v>20</v>
      </c>
      <c r="H38" s="524">
        <f t="shared" si="15"/>
        <v>121</v>
      </c>
      <c r="I38" s="524">
        <f t="shared" si="16"/>
        <v>153</v>
      </c>
      <c r="J38" s="524">
        <f t="shared" si="17"/>
        <v>426</v>
      </c>
      <c r="K38" s="344"/>
      <c r="L38" s="344"/>
      <c r="M38" s="345"/>
    </row>
    <row r="39" spans="1:15" ht="15.75" thickBot="1">
      <c r="A39" s="541">
        <v>2021</v>
      </c>
      <c r="B39" s="542"/>
      <c r="C39" s="542"/>
      <c r="D39" s="542"/>
      <c r="E39" s="542"/>
      <c r="F39" s="542">
        <f t="shared" si="13"/>
        <v>0</v>
      </c>
      <c r="G39" s="542">
        <f t="shared" si="14"/>
        <v>0</v>
      </c>
      <c r="H39" s="542">
        <f t="shared" si="15"/>
        <v>0</v>
      </c>
      <c r="I39" s="542">
        <f t="shared" si="16"/>
        <v>0</v>
      </c>
      <c r="J39" s="525">
        <f t="shared" si="17"/>
        <v>0</v>
      </c>
      <c r="K39" s="344"/>
      <c r="L39" s="344"/>
      <c r="M39" s="345"/>
    </row>
    <row r="40" spans="1:15">
      <c r="A40" s="346"/>
      <c r="B40" s="344"/>
      <c r="C40" s="344"/>
      <c r="D40" s="344"/>
      <c r="E40" s="344"/>
      <c r="F40" s="344"/>
      <c r="G40" s="344"/>
      <c r="H40" s="344"/>
      <c r="I40" s="344"/>
      <c r="J40" s="344"/>
      <c r="K40" s="344"/>
      <c r="L40" s="344"/>
      <c r="M40" s="345"/>
    </row>
    <row r="41" spans="1:15">
      <c r="A41" s="346"/>
      <c r="B41" s="344"/>
      <c r="C41" s="344"/>
      <c r="D41" s="344"/>
      <c r="E41" s="344"/>
      <c r="F41" s="344"/>
      <c r="G41" s="344"/>
      <c r="H41" s="344"/>
      <c r="I41" s="344"/>
      <c r="J41" s="344"/>
      <c r="K41" s="344"/>
      <c r="L41" s="344"/>
      <c r="M41" s="345"/>
    </row>
    <row r="42" spans="1:15" ht="15.75" thickBot="1">
      <c r="A42" s="346"/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5"/>
    </row>
    <row r="43" spans="1:15">
      <c r="A43" s="364" t="s">
        <v>629</v>
      </c>
      <c r="B43" s="364"/>
      <c r="C43" s="364"/>
      <c r="D43" s="364"/>
      <c r="E43" s="364"/>
      <c r="F43" s="364"/>
      <c r="G43" s="364"/>
      <c r="H43" s="364"/>
      <c r="I43" s="364"/>
      <c r="J43" s="365"/>
      <c r="K43" s="365"/>
      <c r="L43" s="365"/>
      <c r="M43" s="365"/>
    </row>
    <row r="45" spans="1:15" ht="15.75" thickBot="1"/>
    <row r="46" spans="1:15">
      <c r="A46" s="518" t="s">
        <v>677</v>
      </c>
      <c r="B46" s="519"/>
      <c r="C46" s="519"/>
      <c r="D46" s="356"/>
      <c r="E46" s="356"/>
      <c r="F46" s="356"/>
      <c r="G46" s="356"/>
      <c r="H46" s="356"/>
      <c r="I46" s="356"/>
      <c r="J46" s="356"/>
      <c r="K46" s="356"/>
      <c r="L46" s="356"/>
      <c r="M46" s="356"/>
    </row>
    <row r="47" spans="1:15" ht="15.75" thickBot="1">
      <c r="A47" s="346"/>
      <c r="B47" s="344"/>
      <c r="C47" s="344"/>
      <c r="D47" s="344"/>
      <c r="E47" s="344"/>
      <c r="F47" s="344"/>
      <c r="G47" s="344"/>
      <c r="H47" s="344"/>
      <c r="I47" s="344"/>
      <c r="J47" s="344"/>
      <c r="K47" s="344"/>
      <c r="L47" s="344"/>
      <c r="M47" s="344"/>
    </row>
    <row r="48" spans="1:15" s="4" customFormat="1" ht="45.75" customHeight="1" thickBot="1">
      <c r="B48" s="935" t="s">
        <v>676</v>
      </c>
      <c r="C48" s="936"/>
      <c r="D48" s="935" t="s">
        <v>679</v>
      </c>
      <c r="E48" s="936"/>
      <c r="F48" s="935" t="s">
        <v>678</v>
      </c>
      <c r="G48" s="936"/>
      <c r="H48" s="810"/>
      <c r="I48" s="810"/>
      <c r="J48" s="810"/>
      <c r="K48" s="810"/>
      <c r="L48" s="810"/>
      <c r="M48" s="810"/>
      <c r="N48" s="810"/>
      <c r="O48" s="810"/>
    </row>
    <row r="49" spans="1:15" s="538" customFormat="1" ht="60.75" thickBot="1">
      <c r="B49" s="811" t="s">
        <v>915</v>
      </c>
      <c r="C49" s="811" t="s">
        <v>916</v>
      </c>
      <c r="D49" s="811" t="s">
        <v>915</v>
      </c>
      <c r="E49" s="811" t="s">
        <v>916</v>
      </c>
      <c r="F49" s="811" t="s">
        <v>915</v>
      </c>
      <c r="G49" s="811" t="s">
        <v>916</v>
      </c>
      <c r="H49" s="537"/>
      <c r="I49" s="537"/>
      <c r="J49" s="537"/>
      <c r="K49" s="537"/>
      <c r="L49" s="537"/>
      <c r="M49" s="537"/>
      <c r="N49" s="537"/>
      <c r="O49" s="537"/>
    </row>
    <row r="50" spans="1:15">
      <c r="A50" s="523">
        <v>2010</v>
      </c>
      <c r="B50" s="521">
        <f t="shared" ref="B50:B58" si="18">IFERROR((AVERAGEIF(Prog,A50,Retard_loyer)),0)</f>
        <v>7.5</v>
      </c>
      <c r="C50" s="521">
        <f t="shared" ref="C50:C57" si="19">IFERROR((AVERAGEIF(Prog,A50,Retard_VEFA)),0)</f>
        <v>0</v>
      </c>
      <c r="D50" s="522">
        <f t="array" ref="D50">IFERROR(AVERAGE(IF(YEAR(OS)=A50,Retard_loyer)),0)</f>
        <v>0</v>
      </c>
      <c r="E50" s="522">
        <f t="array" ref="E50">IFERROR(AVERAGE(IF(YEAR(OS)=A50,Retard_VEFA)),0)</f>
        <v>0</v>
      </c>
      <c r="F50" s="522">
        <f t="array" ref="F50">IFERROR(AVERAGE(IF(YEAR(Livraison)=A50,Retard_loyer)),0)</f>
        <v>0</v>
      </c>
      <c r="G50" s="522">
        <f t="array" ref="G50">IFERROR(AVERAGE(IF(YEAR(Livraison)=A50,Retard_VEFA)),0)</f>
        <v>0</v>
      </c>
      <c r="I50" s="344"/>
      <c r="J50" s="344"/>
      <c r="K50" s="344"/>
      <c r="L50" s="344"/>
      <c r="M50" s="344"/>
      <c r="N50" s="344"/>
      <c r="O50" s="344"/>
    </row>
    <row r="51" spans="1:15">
      <c r="A51" s="524">
        <v>2011</v>
      </c>
      <c r="B51" s="521">
        <f t="shared" si="18"/>
        <v>6.1428571428571432</v>
      </c>
      <c r="C51" s="521">
        <f t="shared" si="19"/>
        <v>2.9499999999999997</v>
      </c>
      <c r="D51" s="522">
        <f t="array" ref="D51">IFERROR(AVERAGE(IF(YEAR(OS)=A51,Retard_loyer)),0)</f>
        <v>3.6</v>
      </c>
      <c r="E51" s="522">
        <f t="array" ref="E51">IFERROR(AVERAGE(IF(YEAR(OS)=A51,Retard_VEFA)),0)</f>
        <v>1.9266666666666665</v>
      </c>
      <c r="F51" s="522">
        <f t="array" ref="F51">IFERROR(AVERAGE(IF(YEAR(Livraison)=A51,Retard_loyer)),0)</f>
        <v>0</v>
      </c>
      <c r="G51" s="522">
        <f t="array" ref="G51">IFERROR(AVERAGE(IF(YEAR(Livraison)=A51,Retard_VEFA)),0)</f>
        <v>0</v>
      </c>
      <c r="I51" s="344"/>
      <c r="J51" s="344"/>
      <c r="K51" s="344"/>
      <c r="L51" s="344"/>
      <c r="M51" s="344"/>
      <c r="N51" s="344"/>
      <c r="O51" s="344"/>
    </row>
    <row r="52" spans="1:15">
      <c r="A52" s="524">
        <v>2012</v>
      </c>
      <c r="B52" s="521">
        <f t="shared" si="18"/>
        <v>13.583333333333334</v>
      </c>
      <c r="C52" s="521">
        <f t="shared" si="19"/>
        <v>8.8484848484848477</v>
      </c>
      <c r="D52" s="522">
        <f t="array" ref="D52">IFERROR(AVERAGE(IF(YEAR(OS)=A52,Retard_loyer)),0)</f>
        <v>10</v>
      </c>
      <c r="E52" s="522">
        <f t="array" ref="E52">IFERROR(AVERAGE(IF(YEAR(OS)=A52,Retard_VEFA)),0)</f>
        <v>0.54166666666666663</v>
      </c>
      <c r="F52" s="522">
        <f t="array" ref="F52">IFERROR(AVERAGE(IF(YEAR(Livraison)=A52,Retard_loyer)),0)</f>
        <v>0</v>
      </c>
      <c r="G52" s="522">
        <f t="array" ref="G52">IFERROR(AVERAGE(IF(YEAR(Livraison)=A52,Retard_VEFA)),0)</f>
        <v>0</v>
      </c>
      <c r="I52" s="344"/>
      <c r="J52" s="344"/>
      <c r="K52" s="344"/>
      <c r="L52" s="344"/>
      <c r="M52" s="344"/>
      <c r="N52" s="344"/>
      <c r="O52" s="344"/>
    </row>
    <row r="53" spans="1:15">
      <c r="A53" s="524">
        <v>2013</v>
      </c>
      <c r="B53" s="521">
        <f t="shared" si="18"/>
        <v>11.166666666666666</v>
      </c>
      <c r="C53" s="521">
        <f t="shared" si="19"/>
        <v>8.8099999999999987</v>
      </c>
      <c r="D53" s="522">
        <f t="array" ref="D53">IFERROR(AVERAGE(IF(YEAR(OS)=A53,Retard_loyer)),0)</f>
        <v>13.583333333333334</v>
      </c>
      <c r="E53" s="522">
        <f t="array" ref="E53">IFERROR(AVERAGE(IF(YEAR(OS)=A53,Retard_VEFA)),0)</f>
        <v>8.1111111111111107</v>
      </c>
      <c r="F53" s="522">
        <f t="array" ref="F53">IFERROR(AVERAGE(IF(YEAR(Livraison)=A53,Retard_loyer)),0)</f>
        <v>4.666666666666667</v>
      </c>
      <c r="G53" s="522">
        <f t="array" ref="G53">IFERROR(AVERAGE(IF(YEAR(Livraison)=A53,Retard_VEFA)),0)</f>
        <v>1.9333333333333333</v>
      </c>
      <c r="I53" s="344"/>
      <c r="J53" s="344"/>
      <c r="K53" s="344"/>
      <c r="L53" s="344"/>
      <c r="M53" s="344"/>
      <c r="N53" s="344"/>
      <c r="O53" s="344"/>
    </row>
    <row r="54" spans="1:15">
      <c r="A54" s="524">
        <v>2014</v>
      </c>
      <c r="B54" s="521">
        <f t="shared" si="18"/>
        <v>2.6666666666666665</v>
      </c>
      <c r="C54" s="521">
        <f t="shared" si="19"/>
        <v>-1.1599999999999999</v>
      </c>
      <c r="D54" s="522">
        <f>IFERROR(AVERAGE(IF(YEAR(OS)=A54,Retard_loyer)),0)</f>
        <v>0</v>
      </c>
      <c r="E54" s="522">
        <f>IFERROR(AVERAGE(IF(YEAR(OS)=A54,Retard_VEFA)),0)</f>
        <v>0</v>
      </c>
      <c r="F54" s="522">
        <f t="array" ref="F54">IFERROR(AVERAGE(IF(YEAR(Livraison)=A54,Retard_loyer)),0)</f>
        <v>6.333333333333333</v>
      </c>
      <c r="G54" s="522">
        <f t="array" ref="G54">IFERROR(AVERAGE(IF(YEAR(Livraison)=A54,Retard_VEFA)),0)</f>
        <v>0.3925925925925926</v>
      </c>
      <c r="H54" s="344"/>
      <c r="I54" s="344"/>
      <c r="J54" s="344"/>
      <c r="K54" s="344"/>
      <c r="L54" s="344"/>
      <c r="M54" s="344"/>
      <c r="N54" s="344"/>
      <c r="O54" s="344"/>
    </row>
    <row r="55" spans="1:15">
      <c r="A55" s="524">
        <v>2015</v>
      </c>
      <c r="B55" s="521">
        <f t="shared" si="18"/>
        <v>1.125</v>
      </c>
      <c r="C55" s="521">
        <f t="shared" si="19"/>
        <v>-0.71111111111111092</v>
      </c>
      <c r="D55" s="522">
        <f t="array" ref="D55">IFERROR(AVERAGE(IF(YEAR(OS)=A55,Retard_loyer)),0)</f>
        <v>3.4</v>
      </c>
      <c r="E55" s="522">
        <f t="array" ref="E55">IFERROR(AVERAGE(IF(YEAR(OS)=A55,Retard_VEFA)),0)</f>
        <v>-1.333333333333333</v>
      </c>
      <c r="F55" s="522">
        <f t="array" ref="F55">IFERROR(AVERAGE(IF(YEAR(Livraison)=A55,Retard_loyer)),0)</f>
        <v>8.8333333333333339</v>
      </c>
      <c r="G55" s="522">
        <f t="array" ref="G55">IFERROR(AVERAGE(IF(YEAR(Livraison)=A55,Retard_VEFA)),0)</f>
        <v>2.9888888888888889</v>
      </c>
      <c r="H55" s="344"/>
      <c r="I55" s="344"/>
      <c r="J55" s="344"/>
      <c r="K55" s="344"/>
      <c r="L55" s="344"/>
      <c r="M55" s="344"/>
      <c r="N55" s="344"/>
      <c r="O55" s="344"/>
    </row>
    <row r="56" spans="1:15">
      <c r="A56" s="524">
        <v>2016</v>
      </c>
      <c r="B56" s="521">
        <f t="shared" si="18"/>
        <v>0.88888888888888884</v>
      </c>
      <c r="C56" s="521">
        <f t="shared" si="19"/>
        <v>-1.6666666666666667</v>
      </c>
      <c r="D56" s="522">
        <f t="array" ref="D56">IFERROR(AVERAGE(IF(YEAR(OS)=A56,Retard_loyer)),0)</f>
        <v>4</v>
      </c>
      <c r="E56" s="522">
        <f t="array" ref="E56">IFERROR(AVERAGE(IF(YEAR(OS)=A56,Retard_VEFA)),0)</f>
        <v>-2.9444444444444446</v>
      </c>
      <c r="F56" s="522">
        <f t="array" ref="F56">IFERROR(AVERAGE(IF(YEAR(Livraison)=A56,Retard_loyer)),0)</f>
        <v>12.375</v>
      </c>
      <c r="G56" s="522">
        <f t="array" ref="G56">IFERROR(AVERAGE(IF(YEAR(Livraison)=A56,Retard_VEFA)),0)</f>
        <v>9.1583333333333332</v>
      </c>
      <c r="H56" s="344"/>
      <c r="I56" s="344"/>
      <c r="J56" s="344"/>
      <c r="K56" s="344"/>
      <c r="L56" s="344"/>
      <c r="M56" s="344"/>
      <c r="N56" s="344"/>
      <c r="O56" s="344"/>
    </row>
    <row r="57" spans="1:15">
      <c r="A57" s="524">
        <v>2017</v>
      </c>
      <c r="B57" s="526">
        <f t="shared" si="18"/>
        <v>0</v>
      </c>
      <c r="C57" s="526">
        <f t="shared" si="19"/>
        <v>483.4666666666667</v>
      </c>
      <c r="D57" s="527">
        <f t="array" ref="D57">IFERROR(AVERAGE(IF(YEAR(OS)=A57,Retard_loyer)),0)</f>
        <v>0.36363636363636365</v>
      </c>
      <c r="E57" s="527">
        <f t="array" ref="E57">IFERROR(AVERAGE(IF(YEAR(OS)=A57,Retard_VEFA)),0)</f>
        <v>-1.2242424242424241</v>
      </c>
      <c r="F57" s="527">
        <f t="array" ref="F57">IFERROR(AVERAGE(IF(YEAR(Livraison)=A57,Retard_loyer)),0)</f>
        <v>15</v>
      </c>
      <c r="G57" s="527">
        <f t="array" ref="G57">IFERROR(AVERAGE(IF(YEAR(Livraison)=A57,Retard_VEFA)),0)</f>
        <v>10.107407407407408</v>
      </c>
      <c r="H57" s="344"/>
      <c r="I57" s="344"/>
      <c r="J57" s="344"/>
      <c r="K57" s="344"/>
      <c r="L57" s="344"/>
      <c r="M57" s="344"/>
      <c r="N57" s="344"/>
      <c r="O57" s="344"/>
    </row>
    <row r="58" spans="1:15" ht="15.75" thickBot="1">
      <c r="A58" s="525">
        <v>2018</v>
      </c>
      <c r="B58" s="528">
        <f t="shared" si="18"/>
        <v>0.81818181818181823</v>
      </c>
      <c r="C58" s="528"/>
      <c r="D58" s="529">
        <f t="array" ref="D58">IFERROR(AVERAGE(IF(YEAR(OS)=A58,Retard_loyer)),0)</f>
        <v>0.5</v>
      </c>
      <c r="E58" s="529"/>
      <c r="F58" s="529">
        <f t="array" ref="F58">IFERROR(AVERAGE(IF(YEAR(Livraison)=A58,Retard_loyer)),0)</f>
        <v>1.7777777777777777</v>
      </c>
      <c r="G58" s="529">
        <f t="array" ref="G58">IFERROR(AVERAGE(IF(YEAR(Livraison)=A58,Retard_VEFA)),0)</f>
        <v>-1.1259259259259258</v>
      </c>
      <c r="H58" s="344"/>
      <c r="I58" s="344"/>
      <c r="J58" s="344"/>
      <c r="K58" s="344"/>
      <c r="L58" s="344"/>
      <c r="M58" s="344"/>
      <c r="N58" s="344"/>
      <c r="O58" s="344"/>
    </row>
    <row r="59" spans="1:15" ht="15.75" thickBot="1">
      <c r="A59" s="346"/>
      <c r="B59" s="344"/>
      <c r="C59" s="344"/>
      <c r="D59" s="344"/>
      <c r="E59" s="344"/>
      <c r="F59" s="344"/>
      <c r="G59" s="344"/>
      <c r="H59" s="344"/>
      <c r="I59" s="344"/>
      <c r="J59" s="344"/>
      <c r="K59" s="344"/>
      <c r="L59" s="344"/>
      <c r="M59" s="344"/>
    </row>
    <row r="60" spans="1:15">
      <c r="A60" s="518" t="s">
        <v>680</v>
      </c>
      <c r="B60" s="519"/>
      <c r="C60" s="519"/>
      <c r="D60" s="356"/>
      <c r="E60" s="356"/>
      <c r="F60" s="356"/>
      <c r="G60" s="356"/>
      <c r="H60" s="356"/>
      <c r="I60" s="356"/>
      <c r="J60" s="356"/>
      <c r="K60" s="356"/>
      <c r="L60" s="356"/>
      <c r="M60" s="356"/>
    </row>
    <row r="61" spans="1:15" ht="15.75" thickBot="1">
      <c r="A61" s="346"/>
      <c r="B61" s="344"/>
      <c r="C61" s="344"/>
      <c r="D61" s="344"/>
      <c r="E61" s="344"/>
      <c r="F61" s="344"/>
      <c r="G61" s="344"/>
      <c r="H61" s="344"/>
      <c r="I61" s="344"/>
      <c r="J61" s="344"/>
      <c r="K61" s="344"/>
      <c r="L61" s="344"/>
      <c r="M61" s="344"/>
    </row>
    <row r="62" spans="1:15" s="538" customFormat="1" ht="45.75" thickBot="1">
      <c r="A62" s="535"/>
      <c r="B62" s="536" t="s">
        <v>676</v>
      </c>
      <c r="C62" s="536" t="s">
        <v>679</v>
      </c>
      <c r="D62" s="536" t="s">
        <v>678</v>
      </c>
      <c r="E62" s="537"/>
      <c r="F62" s="537"/>
      <c r="G62" s="537"/>
      <c r="H62" s="537"/>
      <c r="I62" s="537"/>
      <c r="J62" s="537"/>
      <c r="K62" s="537"/>
      <c r="L62" s="537"/>
      <c r="M62" s="537"/>
    </row>
    <row r="63" spans="1:15">
      <c r="A63" s="523">
        <v>2010</v>
      </c>
      <c r="B63" s="526">
        <f t="shared" ref="B63:B71" si="20">IFERROR((SUMPRODUCT((Prog=A63)*Fonds_propres)),0)</f>
        <v>72193</v>
      </c>
      <c r="C63" s="527">
        <f t="shared" ref="C63:C71" si="21">IFERROR((SUMPRODUCT((YEAR(OS)=A63)*Fonds_propres)),0)</f>
        <v>0</v>
      </c>
      <c r="D63" s="527">
        <f t="shared" ref="D63:D71" si="22">IFERROR((SUMPRODUCT((YEAR(Livraison)=A63)*Fonds_propres)),0)</f>
        <v>0</v>
      </c>
      <c r="E63" s="344"/>
      <c r="F63" s="344"/>
      <c r="G63" s="344"/>
      <c r="H63" s="344"/>
      <c r="I63" s="344"/>
      <c r="J63" s="344"/>
      <c r="K63" s="344"/>
      <c r="L63" s="344"/>
      <c r="M63" s="344"/>
    </row>
    <row r="64" spans="1:15">
      <c r="A64" s="524">
        <v>2011</v>
      </c>
      <c r="B64" s="526">
        <f t="shared" si="20"/>
        <v>253357.88</v>
      </c>
      <c r="C64" s="527">
        <f t="shared" si="21"/>
        <v>1409</v>
      </c>
      <c r="D64" s="527">
        <f t="shared" si="22"/>
        <v>0</v>
      </c>
      <c r="E64" s="344"/>
      <c r="F64" s="344"/>
      <c r="G64" s="344"/>
      <c r="H64" s="344"/>
      <c r="I64" s="344"/>
      <c r="J64" s="344"/>
      <c r="K64" s="344"/>
      <c r="L64" s="344"/>
      <c r="M64" s="344"/>
    </row>
    <row r="65" spans="1:13">
      <c r="A65" s="524">
        <v>2012</v>
      </c>
      <c r="B65" s="526">
        <f t="shared" si="20"/>
        <v>966839.54</v>
      </c>
      <c r="C65" s="527">
        <f t="shared" si="21"/>
        <v>324141.88</v>
      </c>
      <c r="D65" s="527">
        <f t="shared" si="22"/>
        <v>0</v>
      </c>
      <c r="E65" s="784"/>
      <c r="F65" s="344"/>
      <c r="G65" s="344"/>
      <c r="H65" s="344"/>
      <c r="I65" s="344"/>
      <c r="J65" s="344"/>
      <c r="K65" s="344"/>
      <c r="L65" s="344"/>
      <c r="M65" s="344"/>
    </row>
    <row r="66" spans="1:13">
      <c r="A66" s="524">
        <v>2013</v>
      </c>
      <c r="B66" s="526">
        <f t="shared" si="20"/>
        <v>89789</v>
      </c>
      <c r="C66" s="527">
        <f t="shared" si="21"/>
        <v>966839.54</v>
      </c>
      <c r="D66" s="527">
        <f t="shared" si="22"/>
        <v>1409</v>
      </c>
      <c r="E66" s="344"/>
      <c r="F66" s="344"/>
      <c r="G66" s="344"/>
      <c r="H66" s="344"/>
      <c r="I66" s="344"/>
      <c r="J66" s="344"/>
      <c r="K66" s="344"/>
      <c r="L66" s="344"/>
      <c r="M66" s="344"/>
    </row>
    <row r="67" spans="1:13">
      <c r="A67" s="524">
        <v>2014</v>
      </c>
      <c r="B67" s="526">
        <f t="shared" si="20"/>
        <v>508384.73</v>
      </c>
      <c r="C67" s="527">
        <f t="shared" si="21"/>
        <v>89789</v>
      </c>
      <c r="D67" s="527">
        <f t="shared" si="22"/>
        <v>498508.88</v>
      </c>
      <c r="E67" s="344"/>
      <c r="F67" s="344"/>
      <c r="G67" s="344"/>
      <c r="H67" s="344"/>
      <c r="I67" s="344"/>
      <c r="J67" s="344"/>
      <c r="K67" s="344"/>
      <c r="L67" s="344"/>
      <c r="M67" s="344"/>
    </row>
    <row r="68" spans="1:13">
      <c r="A68" s="524">
        <v>2015</v>
      </c>
      <c r="B68" s="526">
        <f t="shared" si="20"/>
        <v>85639</v>
      </c>
      <c r="C68" s="527">
        <f t="shared" si="21"/>
        <v>119605.73</v>
      </c>
      <c r="D68" s="527">
        <f t="shared" si="22"/>
        <v>365519.54</v>
      </c>
      <c r="E68" s="344"/>
      <c r="F68" s="344"/>
      <c r="G68" s="344"/>
      <c r="H68" s="344"/>
      <c r="I68" s="344"/>
      <c r="J68" s="344"/>
      <c r="K68" s="344"/>
      <c r="L68" s="344"/>
      <c r="M68" s="344"/>
    </row>
    <row r="69" spans="1:13">
      <c r="A69" s="524">
        <v>2016</v>
      </c>
      <c r="B69" s="526">
        <f t="shared" si="20"/>
        <v>326482</v>
      </c>
      <c r="C69" s="527">
        <f t="shared" si="21"/>
        <v>59150</v>
      </c>
      <c r="D69" s="527">
        <f t="shared" si="22"/>
        <v>414702</v>
      </c>
      <c r="E69" s="368"/>
      <c r="F69" s="344"/>
      <c r="G69" s="344"/>
      <c r="H69" s="344"/>
      <c r="I69" s="344"/>
      <c r="J69" s="344"/>
      <c r="K69" s="344"/>
      <c r="L69" s="344"/>
      <c r="M69" s="344"/>
    </row>
    <row r="70" spans="1:13">
      <c r="A70" s="524">
        <v>2017</v>
      </c>
      <c r="B70" s="526">
        <f t="shared" si="20"/>
        <v>640000</v>
      </c>
      <c r="C70" s="527">
        <f t="shared" si="21"/>
        <v>415268</v>
      </c>
      <c r="D70" s="527">
        <f t="shared" si="22"/>
        <v>102040</v>
      </c>
      <c r="E70" s="344"/>
      <c r="F70" s="344"/>
      <c r="G70" s="344"/>
      <c r="H70" s="344"/>
      <c r="I70" s="344"/>
      <c r="J70" s="344"/>
      <c r="K70" s="344"/>
      <c r="L70" s="344"/>
      <c r="M70" s="344"/>
    </row>
    <row r="71" spans="1:13">
      <c r="A71" s="524">
        <v>2018</v>
      </c>
      <c r="B71" s="526">
        <f t="shared" si="20"/>
        <v>0</v>
      </c>
      <c r="C71" s="527">
        <f t="shared" si="21"/>
        <v>966482</v>
      </c>
      <c r="D71" s="527">
        <f t="shared" si="22"/>
        <v>196589.72999999998</v>
      </c>
      <c r="E71" s="344"/>
      <c r="F71" s="344"/>
      <c r="G71" s="344"/>
      <c r="H71" s="344"/>
      <c r="I71" s="344"/>
      <c r="J71" s="344"/>
      <c r="K71" s="344"/>
      <c r="L71" s="344"/>
      <c r="M71" s="344"/>
    </row>
    <row r="72" spans="1:13" ht="15.75" thickBot="1">
      <c r="A72" s="525">
        <v>2019</v>
      </c>
      <c r="B72" s="528">
        <f t="shared" ref="B72" si="23">IFERROR((SUMPRODUCT((Prog=A72)*Fonds_propres)),0)</f>
        <v>0</v>
      </c>
      <c r="C72" s="529">
        <f t="shared" ref="C72" si="24">IFERROR((SUMPRODUCT((YEAR(OS)=A72)*Fonds_propres)),0)</f>
        <v>0</v>
      </c>
      <c r="D72" s="529">
        <f t="shared" ref="D72" si="25">IFERROR((SUMPRODUCT((YEAR(Livraison)=A72)*Fonds_propres)),0)</f>
        <v>877216</v>
      </c>
      <c r="E72" s="344"/>
      <c r="F72" s="344"/>
      <c r="G72" s="344"/>
      <c r="H72" s="344"/>
      <c r="I72" s="344"/>
      <c r="J72" s="344"/>
      <c r="K72" s="344"/>
      <c r="L72" s="344"/>
      <c r="M72" s="344"/>
    </row>
    <row r="73" spans="1:13" ht="15.75" thickBot="1">
      <c r="A73" s="520"/>
      <c r="B73" s="344"/>
      <c r="C73" s="344"/>
      <c r="D73" s="344"/>
      <c r="E73" s="344"/>
      <c r="F73" s="344"/>
      <c r="G73" s="344"/>
      <c r="H73" s="344"/>
      <c r="I73" s="344"/>
      <c r="J73" s="344"/>
      <c r="K73" s="344"/>
      <c r="L73" s="344"/>
      <c r="M73" s="344"/>
    </row>
    <row r="74" spans="1:13">
      <c r="A74" s="518" t="s">
        <v>681</v>
      </c>
      <c r="B74" s="519"/>
      <c r="C74" s="519"/>
      <c r="D74" s="356"/>
      <c r="E74" s="356"/>
      <c r="F74" s="356"/>
      <c r="G74" s="356"/>
      <c r="H74" s="356"/>
      <c r="I74" s="356"/>
      <c r="J74" s="356"/>
      <c r="K74" s="356"/>
      <c r="L74" s="356"/>
      <c r="M74" s="356"/>
    </row>
    <row r="75" spans="1:13" ht="15.75" thickBot="1">
      <c r="A75" s="520"/>
      <c r="B75" s="344"/>
      <c r="C75" s="344"/>
      <c r="D75" s="344"/>
      <c r="E75" s="344"/>
      <c r="F75" s="344"/>
      <c r="G75" s="344"/>
      <c r="H75" s="344"/>
      <c r="I75" s="344"/>
      <c r="J75" s="344"/>
      <c r="K75" s="344"/>
      <c r="L75" s="344"/>
      <c r="M75" s="344"/>
    </row>
    <row r="76" spans="1:13" s="538" customFormat="1" ht="45.75" thickBot="1">
      <c r="A76" s="535"/>
      <c r="B76" s="536" t="s">
        <v>676</v>
      </c>
      <c r="C76" s="536" t="s">
        <v>679</v>
      </c>
      <c r="D76" s="536" t="s">
        <v>678</v>
      </c>
      <c r="E76" s="537"/>
      <c r="F76" s="537"/>
      <c r="G76" s="537"/>
      <c r="H76" s="537"/>
      <c r="I76" s="537"/>
      <c r="J76" s="537"/>
      <c r="K76" s="537"/>
      <c r="L76" s="537"/>
      <c r="M76" s="537"/>
    </row>
    <row r="77" spans="1:13">
      <c r="A77" s="523">
        <v>2010</v>
      </c>
      <c r="B77" s="526">
        <f t="shared" ref="B77:B85" si="26">IFERROR((SUMPRODUCT((Prog=A77)*Loyers)),0)</f>
        <v>171477</v>
      </c>
      <c r="C77" s="527">
        <f t="shared" ref="C77:C85" si="27">IFERROR((SUMPRODUCT((YEAR(OS)=A77)*Loyers)),0)</f>
        <v>0</v>
      </c>
      <c r="D77" s="527">
        <f t="shared" ref="D77:D85" si="28">IFERROR((SUMPRODUCT((YEAR(Livraison)=A77)*Loyers)),0)</f>
        <v>0</v>
      </c>
      <c r="E77" s="344"/>
      <c r="F77" s="344"/>
      <c r="G77" s="344"/>
      <c r="H77" s="344"/>
      <c r="I77" s="344"/>
      <c r="J77" s="344"/>
      <c r="K77" s="344"/>
      <c r="L77" s="344"/>
      <c r="M77" s="344"/>
    </row>
    <row r="78" spans="1:13">
      <c r="A78" s="524">
        <v>2011</v>
      </c>
      <c r="B78" s="526">
        <f t="shared" si="26"/>
        <v>214803</v>
      </c>
      <c r="C78" s="527">
        <f t="shared" si="27"/>
        <v>166405</v>
      </c>
      <c r="D78" s="527">
        <f t="shared" si="28"/>
        <v>0</v>
      </c>
      <c r="E78" s="344"/>
      <c r="F78" s="344"/>
      <c r="G78" s="344"/>
      <c r="H78" s="344"/>
      <c r="I78" s="344"/>
      <c r="J78" s="344"/>
      <c r="K78" s="344"/>
      <c r="L78" s="344"/>
      <c r="M78" s="344"/>
    </row>
    <row r="79" spans="1:13">
      <c r="A79" s="524">
        <v>2012</v>
      </c>
      <c r="B79" s="526">
        <f t="shared" si="26"/>
        <v>2154352.301876789</v>
      </c>
      <c r="C79" s="527">
        <f t="shared" si="27"/>
        <v>219875</v>
      </c>
      <c r="D79" s="527">
        <f t="shared" si="28"/>
        <v>0</v>
      </c>
      <c r="E79" s="344"/>
      <c r="F79" s="344"/>
      <c r="G79" s="344"/>
      <c r="H79" s="344"/>
      <c r="I79" s="344"/>
      <c r="J79" s="344"/>
      <c r="K79" s="344"/>
      <c r="L79" s="344"/>
      <c r="M79" s="344"/>
    </row>
    <row r="80" spans="1:13">
      <c r="A80" s="524">
        <v>2013</v>
      </c>
      <c r="B80" s="526">
        <f t="shared" si="26"/>
        <v>2374411.8056243821</v>
      </c>
      <c r="C80" s="527">
        <f t="shared" si="27"/>
        <v>2154352.301876789</v>
      </c>
      <c r="D80" s="527">
        <f t="shared" si="28"/>
        <v>166405</v>
      </c>
      <c r="E80" s="344"/>
      <c r="F80" s="344"/>
      <c r="G80" s="344"/>
      <c r="H80" s="344"/>
      <c r="I80" s="344"/>
      <c r="J80" s="344"/>
      <c r="K80" s="344"/>
      <c r="L80" s="344"/>
      <c r="M80" s="344"/>
    </row>
    <row r="81" spans="1:13">
      <c r="A81" s="524">
        <v>2014</v>
      </c>
      <c r="B81" s="526">
        <f t="shared" si="26"/>
        <v>186930.74957289803</v>
      </c>
      <c r="C81" s="527">
        <f t="shared" si="27"/>
        <v>2086908.2709370907</v>
      </c>
      <c r="D81" s="527">
        <f t="shared" si="28"/>
        <v>305221.86670680356</v>
      </c>
      <c r="E81" s="344"/>
      <c r="F81" s="344"/>
      <c r="G81" s="344"/>
      <c r="H81" s="344"/>
      <c r="I81" s="344"/>
      <c r="J81" s="344"/>
      <c r="K81" s="344"/>
      <c r="L81" s="344"/>
      <c r="M81" s="344"/>
    </row>
    <row r="82" spans="1:13">
      <c r="A82" s="524">
        <v>2015</v>
      </c>
      <c r="B82" s="526">
        <f t="shared" si="26"/>
        <v>-15286.972027750006</v>
      </c>
      <c r="C82" s="527">
        <f t="shared" si="27"/>
        <v>418749.29895332636</v>
      </c>
      <c r="D82" s="527">
        <f t="shared" si="28"/>
        <v>720474.80252178689</v>
      </c>
      <c r="E82" s="344"/>
      <c r="F82" s="344"/>
      <c r="G82" s="344"/>
      <c r="H82" s="344"/>
      <c r="I82" s="344"/>
      <c r="J82" s="344"/>
      <c r="K82" s="344"/>
      <c r="L82" s="344"/>
      <c r="M82" s="344"/>
    </row>
    <row r="83" spans="1:13">
      <c r="A83" s="524">
        <v>2016</v>
      </c>
      <c r="B83" s="526">
        <f t="shared" si="26"/>
        <v>17058</v>
      </c>
      <c r="C83" s="527">
        <f t="shared" si="27"/>
        <v>72742.985306863033</v>
      </c>
      <c r="D83" s="527">
        <f t="shared" si="28"/>
        <v>1142959.5097679778</v>
      </c>
      <c r="E83" s="344"/>
      <c r="F83" s="344"/>
      <c r="G83" s="344"/>
      <c r="H83" s="344"/>
      <c r="I83" s="344"/>
      <c r="J83" s="344"/>
      <c r="K83" s="344"/>
      <c r="L83" s="344"/>
      <c r="M83" s="344"/>
    </row>
    <row r="84" spans="1:13">
      <c r="A84" s="524">
        <v>2017</v>
      </c>
      <c r="B84" s="526">
        <f t="shared" si="26"/>
        <v>0</v>
      </c>
      <c r="C84" s="527">
        <f t="shared" si="27"/>
        <v>-15286.972027750006</v>
      </c>
      <c r="D84" s="527">
        <f t="shared" si="28"/>
        <v>2648733.3665934736</v>
      </c>
      <c r="E84" s="344"/>
      <c r="F84" s="344"/>
      <c r="G84" s="344"/>
      <c r="H84" s="344"/>
      <c r="I84" s="344"/>
      <c r="J84" s="344"/>
      <c r="K84" s="344"/>
      <c r="L84" s="344"/>
      <c r="M84" s="344"/>
    </row>
    <row r="85" spans="1:13" ht="15.75" thickBot="1">
      <c r="A85" s="525">
        <v>2018</v>
      </c>
      <c r="B85" s="528">
        <f t="shared" si="26"/>
        <v>0</v>
      </c>
      <c r="C85" s="529">
        <f t="shared" si="27"/>
        <v>0</v>
      </c>
      <c r="D85" s="529">
        <f t="shared" si="28"/>
        <v>119951.33945627754</v>
      </c>
      <c r="E85" s="344"/>
      <c r="F85" s="344"/>
      <c r="G85" s="344"/>
      <c r="H85" s="344"/>
      <c r="I85" s="344"/>
      <c r="J85" s="344"/>
      <c r="K85" s="344"/>
      <c r="L85" s="344"/>
      <c r="M85" s="344"/>
    </row>
    <row r="86" spans="1:13">
      <c r="A86" s="520"/>
      <c r="B86" s="344"/>
      <c r="C86" s="344"/>
      <c r="D86" s="344"/>
      <c r="E86" s="344"/>
      <c r="F86" s="344"/>
      <c r="G86" s="344"/>
      <c r="H86" s="344"/>
      <c r="I86" s="344"/>
      <c r="J86" s="344"/>
      <c r="K86" s="344"/>
      <c r="L86" s="344"/>
      <c r="M86" s="344"/>
    </row>
    <row r="87" spans="1:13" ht="15.75" thickBot="1">
      <c r="A87" s="520"/>
      <c r="B87" s="344"/>
      <c r="C87" s="344"/>
      <c r="D87" s="344"/>
      <c r="E87" s="344"/>
      <c r="F87" s="344"/>
      <c r="G87" s="344"/>
      <c r="H87" s="344"/>
      <c r="I87" s="344"/>
      <c r="J87" s="344"/>
      <c r="K87" s="344"/>
      <c r="L87" s="344"/>
      <c r="M87" s="344"/>
    </row>
    <row r="88" spans="1:13" ht="15.75" thickBot="1">
      <c r="A88" s="364" t="s">
        <v>592</v>
      </c>
      <c r="B88" s="356"/>
      <c r="C88" s="356"/>
      <c r="D88" s="356"/>
      <c r="E88" s="356"/>
      <c r="F88" s="356"/>
      <c r="G88" s="356"/>
      <c r="H88" s="356"/>
      <c r="I88" s="356"/>
      <c r="J88" s="356"/>
      <c r="K88" s="356"/>
      <c r="L88" s="356"/>
      <c r="M88" s="356"/>
    </row>
    <row r="89" spans="1:13">
      <c r="A89" s="346"/>
      <c r="B89" s="344"/>
      <c r="C89" s="344"/>
      <c r="D89" s="344"/>
      <c r="E89" s="344"/>
      <c r="F89" s="344"/>
      <c r="G89" s="344"/>
      <c r="H89" s="344"/>
      <c r="I89" s="344"/>
      <c r="J89" s="344"/>
      <c r="K89" s="386"/>
      <c r="L89" s="344"/>
      <c r="M89" s="345"/>
    </row>
    <row r="90" spans="1:13">
      <c r="A90" s="346"/>
      <c r="B90" s="344"/>
      <c r="C90" s="344"/>
      <c r="D90" s="344"/>
      <c r="E90" s="344"/>
      <c r="F90" s="344"/>
      <c r="G90" s="344"/>
      <c r="H90" s="344"/>
      <c r="I90" s="344"/>
      <c r="J90" s="344"/>
      <c r="K90" s="344"/>
      <c r="L90" s="344"/>
      <c r="M90" s="345"/>
    </row>
    <row r="91" spans="1:13" s="33" customFormat="1">
      <c r="A91" s="377" t="s">
        <v>376</v>
      </c>
      <c r="B91" s="378" t="s">
        <v>593</v>
      </c>
      <c r="C91" s="378"/>
      <c r="D91" s="378"/>
      <c r="E91" s="378"/>
      <c r="F91" s="378"/>
      <c r="G91" s="378"/>
      <c r="H91" s="378"/>
      <c r="I91" s="378"/>
      <c r="J91" s="378"/>
      <c r="K91" s="378"/>
      <c r="L91" s="379"/>
    </row>
    <row r="92" spans="1:13">
      <c r="A92" s="357" t="s">
        <v>377</v>
      </c>
      <c r="B92" s="358">
        <f>SUMPRODUCT((Nlgts&gt;=1)*((Nlgts&lt;=19)*((Nlgts))*(Type&lt;&gt;"Rehab")*(Type&lt;&gt;"PLS")))</f>
        <v>372</v>
      </c>
      <c r="C92" s="344"/>
      <c r="D92" s="344"/>
      <c r="E92" s="344"/>
      <c r="F92" s="344"/>
      <c r="G92" s="344"/>
      <c r="H92" s="344"/>
      <c r="I92" s="344"/>
      <c r="J92" s="344"/>
      <c r="K92" s="344"/>
      <c r="L92" s="345"/>
    </row>
    <row r="93" spans="1:13">
      <c r="A93" s="455" t="s">
        <v>378</v>
      </c>
      <c r="B93" s="456">
        <f>SUMPRODUCT((Nlgts&gt;=20)*((Nlgts&lt;=39)*((Nlgts))*(Type&lt;&gt;"Rehab")*(Type&lt;&gt;"PLS")))</f>
        <v>954</v>
      </c>
      <c r="C93" s="344"/>
      <c r="D93" s="344"/>
      <c r="E93" s="344"/>
      <c r="F93" s="344"/>
      <c r="G93" s="344"/>
      <c r="H93" s="344"/>
      <c r="I93" s="344"/>
      <c r="J93" s="344"/>
      <c r="K93" s="344"/>
      <c r="L93" s="345"/>
    </row>
    <row r="94" spans="1:13">
      <c r="A94" s="359" t="s">
        <v>379</v>
      </c>
      <c r="B94" s="360">
        <f>SUMPRODUCT((Nlgts&gt;=40)*((Nlgts&lt;=59)*((Nlgts)))*(Type&lt;&gt;"Rehab")*(Type&lt;&gt;"PLS"))</f>
        <v>566</v>
      </c>
      <c r="C94" s="344"/>
      <c r="D94" s="344"/>
      <c r="E94" s="344"/>
      <c r="F94" s="344"/>
      <c r="G94" s="344"/>
      <c r="H94" s="344"/>
      <c r="I94" s="344"/>
      <c r="J94" s="344"/>
      <c r="K94" s="344"/>
      <c r="L94" s="345"/>
    </row>
    <row r="95" spans="1:13">
      <c r="A95" s="361" t="s">
        <v>380</v>
      </c>
      <c r="B95" s="362">
        <f>SUMPRODUCT((Nlgts&gt;=60)*((Nlgts))*(Type&lt;&gt;"Rehab")*(Type&lt;&gt;"PLS"))</f>
        <v>590</v>
      </c>
      <c r="C95" s="344"/>
      <c r="D95" s="344"/>
      <c r="E95" s="344"/>
      <c r="F95" s="344"/>
      <c r="G95" s="344"/>
      <c r="H95" s="344"/>
      <c r="I95" s="344"/>
      <c r="J95" s="344"/>
      <c r="K95" s="344"/>
      <c r="L95" s="345"/>
    </row>
    <row r="96" spans="1:13">
      <c r="A96" s="346"/>
      <c r="B96" s="363">
        <f>SUM(B92:B95)</f>
        <v>2482</v>
      </c>
      <c r="C96" s="344"/>
      <c r="D96" s="344"/>
      <c r="E96" s="344"/>
      <c r="F96" s="344"/>
      <c r="G96" s="344"/>
      <c r="H96" s="344"/>
      <c r="I96" s="344"/>
      <c r="J96" s="344"/>
      <c r="K96" s="344"/>
      <c r="L96" s="345"/>
    </row>
    <row r="97" spans="1:13" ht="15.75" thickBot="1">
      <c r="A97" s="352"/>
      <c r="B97" s="353"/>
      <c r="C97" s="353"/>
      <c r="D97" s="353"/>
      <c r="E97" s="353"/>
      <c r="F97" s="353"/>
      <c r="G97" s="353"/>
      <c r="H97" s="353"/>
      <c r="I97" s="353"/>
      <c r="J97" s="353"/>
      <c r="K97" s="353"/>
      <c r="L97" s="344"/>
      <c r="M97" s="345"/>
    </row>
    <row r="98" spans="1:13" ht="15.75" thickBot="1">
      <c r="A98" s="364" t="s">
        <v>598</v>
      </c>
      <c r="B98" s="364"/>
      <c r="C98" s="364"/>
      <c r="D98" s="364"/>
      <c r="E98" s="364"/>
      <c r="F98" s="364"/>
      <c r="G98" s="364"/>
      <c r="H98" s="364"/>
      <c r="I98" s="364"/>
      <c r="J98" s="364"/>
      <c r="K98" s="364"/>
      <c r="L98" s="364"/>
      <c r="M98" s="364"/>
    </row>
    <row r="99" spans="1:13">
      <c r="A99" s="366" t="s">
        <v>75</v>
      </c>
      <c r="B99" s="367" t="s">
        <v>599</v>
      </c>
      <c r="C99" s="533" t="s">
        <v>920</v>
      </c>
      <c r="D99" s="344"/>
      <c r="E99" s="344"/>
      <c r="F99" s="344"/>
      <c r="G99" s="344"/>
      <c r="H99" s="344"/>
      <c r="I99" s="344"/>
      <c r="J99" s="344"/>
      <c r="K99" s="386"/>
      <c r="L99" s="344"/>
      <c r="M99" s="345"/>
    </row>
    <row r="100" spans="1:13">
      <c r="A100" s="346">
        <v>2010</v>
      </c>
      <c r="B100" s="376">
        <f>(SUMPRODUCT(((Prog)=2010)*Px_Foncier))/(SUMPRODUCT((Nlgts)*(Type&lt;&gt;"Rehab")*(Type&lt;&gt;"PLS")*((Prog)=2010)))</f>
        <v>22486.427017543861</v>
      </c>
      <c r="C100" s="818">
        <f>(SUMPRODUCT(((Prog)=2010)*Px_Foncier))/(SUMPRODUCT((S_TERRAIN)*(Type&lt;&gt;"Rehab")*(Type&lt;&gt;"PLS")*((Prog)=2010)))</f>
        <v>67.395432747923024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5"/>
    </row>
    <row r="101" spans="1:13">
      <c r="A101" s="346">
        <v>2011</v>
      </c>
      <c r="B101" s="376">
        <f>(SUMPRODUCT(((Prog)=2011)*Px_Foncier))/(SUMPRODUCT((Nlgts)*(Type&lt;&gt;"Rehab")*(Type&lt;&gt;"PLS")*((Prog)=2011)))</f>
        <v>20668.457089552237</v>
      </c>
      <c r="C101" s="818">
        <f>(SUMPRODUCT(((Prog)=2011)*Px_Foncier))/(SUMPRODUCT((S_TERRAIN)*(Type&lt;&gt;"Rehab")*(Type&lt;&gt;"PLS")*((Prog)=2011)))</f>
        <v>117.773994301752</v>
      </c>
      <c r="D101" s="344"/>
      <c r="E101" s="344"/>
      <c r="F101" s="344"/>
      <c r="G101" s="368"/>
      <c r="H101" s="344"/>
      <c r="I101" s="344"/>
      <c r="J101" s="344"/>
      <c r="K101" s="344"/>
      <c r="L101" s="344"/>
      <c r="M101" s="345"/>
    </row>
    <row r="102" spans="1:13">
      <c r="A102" s="346">
        <v>2012</v>
      </c>
      <c r="B102" s="376">
        <f>(SUMPRODUCT(((Prog)=2012)*Px_Foncier))/(SUMPRODUCT((Nlgts)*(Type&lt;&gt;"Rehab")*(Type&lt;&gt;"PLS")*((Prog)=2012)))</f>
        <v>13425.0975</v>
      </c>
      <c r="C102" s="818">
        <f>(SUMPRODUCT(((Prog)=2012)*Px_Foncier))/(SUMPRODUCT((S_TERRAIN)*(Type&lt;&gt;"Rehab")*(Type&lt;&gt;"PLS")*((Prog)=2012)))</f>
        <v>89.000541125989542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5"/>
    </row>
    <row r="103" spans="1:13">
      <c r="A103" s="346">
        <v>2013</v>
      </c>
      <c r="B103" s="376">
        <f>(SUMPRODUCT(((Prog)=2013)*Px_Foncier))/(SUMPRODUCT((Nlgts)*(Type&lt;&gt;"Rehab")*(Type&lt;&gt;"PLS")*((Prog)=2013)))</f>
        <v>13305.622828784119</v>
      </c>
      <c r="C103" s="818">
        <f>(SUMPRODUCT(((Prog)=2013)*Px_Foncier))/(SUMPRODUCT((S_TERRAIN)*(Type&lt;&gt;"Rehab")*(Type&lt;&gt;"PLS")*((Prog)=2013)))</f>
        <v>62.346417691788943</v>
      </c>
      <c r="D103" s="344"/>
      <c r="E103" s="344"/>
      <c r="F103" s="344"/>
      <c r="G103" s="344"/>
      <c r="H103" s="344"/>
      <c r="I103" s="344"/>
      <c r="J103" s="344"/>
      <c r="K103" s="344"/>
      <c r="L103" s="344"/>
      <c r="M103" s="345"/>
    </row>
    <row r="104" spans="1:13">
      <c r="A104" s="346">
        <v>2014</v>
      </c>
      <c r="B104" s="376">
        <f>(SUMPRODUCT(((Prog)=2014)*Px_Foncier))/(SUMPRODUCT((Nlgts)*(Type&lt;&gt;"Rehab")*(Type&lt;&gt;"PLS")*((Prog)=2014)))</f>
        <v>16551.254335260117</v>
      </c>
      <c r="C104" s="818">
        <f>(SUMPRODUCT(((Prog)=2014)*Px_Foncier))/(SUMPRODUCT((S_TERRAIN)*(Type&lt;&gt;"Rehab")*(Type&lt;&gt;"PLS")*((Prog)=2014)))</f>
        <v>152.92496261482589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5"/>
    </row>
    <row r="105" spans="1:13">
      <c r="A105" s="346">
        <v>2015</v>
      </c>
      <c r="B105" s="376">
        <f>(SUMPRODUCT(((Prog)=2015)*Px_Foncier))/(SUMPRODUCT((Nlgts)*(Type&lt;&gt;"Rehab")*(Type&lt;&gt;"PLS")*((Prog)=2015)))</f>
        <v>13379.85576923077</v>
      </c>
      <c r="C105" s="818">
        <f>(SUMPRODUCT(((Prog)=2015)*Px_Foncier))/(SUMPRODUCT((S_TERRAIN)*(Type&lt;&gt;"Rehab")*(Type&lt;&gt;"PLS")*((Prog)=2015)))</f>
        <v>61.318688582382229</v>
      </c>
      <c r="D105" s="344"/>
      <c r="E105" s="344"/>
      <c r="F105" s="344"/>
      <c r="G105" s="344"/>
      <c r="H105" s="344"/>
      <c r="I105" s="344"/>
      <c r="J105" s="344"/>
      <c r="K105" s="344"/>
      <c r="L105" s="402"/>
      <c r="M105" s="345"/>
    </row>
    <row r="106" spans="1:13">
      <c r="A106" s="346">
        <v>2016</v>
      </c>
      <c r="B106" s="376">
        <f>(SUMPRODUCT(((Prog)=2016)*Px_Foncier))/(SUMPRODUCT((Nlgts)*(Type&lt;&gt;"Rehab")*(Type&lt;&gt;"PLS")*((Prog)=2016)))</f>
        <v>12680.366101694915</v>
      </c>
      <c r="C106" s="818">
        <f>(SUMPRODUCT(((Prog)=2016)*Px_Foncier))/(SUMPRODUCT((S_TERRAIN)*(Type&lt;&gt;"Rehab")*(Type&lt;&gt;"PLS")*((Prog)=2016)))</f>
        <v>108.71306925513674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5"/>
    </row>
    <row r="107" spans="1:13">
      <c r="A107" s="346">
        <v>2017</v>
      </c>
      <c r="B107" s="376">
        <f>(SUMPRODUCT(((Prog)=2017)*Px_Foncier))/(SUMPRODUCT((Nlgts)*(Type&lt;&gt;"Rehab")*(Type&lt;&gt;"PLS")*((Prog)=2017)))</f>
        <v>14389.707228554444</v>
      </c>
      <c r="C107" s="818">
        <f>(SUMPRODUCT(((Prog)=2017)*Px_Foncier))/(SUMPRODUCT((S_TERRAIN)*(Type&lt;&gt;"Rehab")*(Type&lt;&gt;"PLS")*((Prog)=2017)))</f>
        <v>86.228043216510542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5"/>
    </row>
    <row r="108" spans="1:13">
      <c r="A108" s="816">
        <v>2018</v>
      </c>
      <c r="B108" s="817">
        <f>(SUMPRODUCT(((Prog)=2018)*Px_Foncier))/(SUMPRODUCT((Nlgts)*(Type&lt;&gt;"Rehab")*(Type&lt;&gt;"PLS")*((Prog)=2018)))</f>
        <v>13381.483412322275</v>
      </c>
      <c r="C108" s="818">
        <f>(SUMPRODUCT(((Prog)=2018)*Px_Foncier))/(SUMPRODUCT((S_TERRAIN)*(Type&lt;&gt;"Rehab")*(Type&lt;&gt;"PLS")*((Prog)=2018)))</f>
        <v>137.05611378088443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5"/>
    </row>
    <row r="109" spans="1:13">
      <c r="A109" s="457">
        <v>2019</v>
      </c>
      <c r="B109" s="458">
        <f>(SUMPRODUCT(((Prog)=2019)*Px_Foncier))/(SUMPRODUCT((Nlgts)*(Type&lt;&gt;"Rehab")*(Type&lt;&gt;"PLS")*((Prog)=2019)))</f>
        <v>13001.484981969234</v>
      </c>
      <c r="C109" s="818">
        <f>(SUMPRODUCT(((Prog)=2019)*Px_Foncier))/(SUMPRODUCT((S_TERRAIN)*(Type&lt;&gt;"Rehab")*(Type&lt;&gt;"PLS")*((Prog)=2019)))</f>
        <v>162.2090844161898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5"/>
    </row>
    <row r="110" spans="1:13" ht="15.75" thickBot="1">
      <c r="A110" s="352"/>
      <c r="B110" s="353"/>
      <c r="C110" s="353"/>
      <c r="D110" s="353"/>
      <c r="E110" s="353"/>
      <c r="F110" s="353"/>
      <c r="G110" s="353"/>
      <c r="H110" s="353"/>
      <c r="I110" s="353"/>
      <c r="J110" s="353"/>
      <c r="K110" s="353"/>
      <c r="L110" s="344"/>
      <c r="M110" s="345"/>
    </row>
    <row r="111" spans="1:13" ht="15.75" thickBot="1">
      <c r="A111" s="364" t="s">
        <v>600</v>
      </c>
      <c r="B111" s="364"/>
      <c r="C111" s="364"/>
      <c r="D111" s="364"/>
      <c r="E111" s="364"/>
      <c r="F111" s="364"/>
      <c r="G111" s="364"/>
      <c r="H111" s="364"/>
      <c r="I111" s="364"/>
      <c r="J111" s="365"/>
      <c r="K111" s="365"/>
      <c r="L111" s="365"/>
      <c r="M111" s="365"/>
    </row>
    <row r="112" spans="1:13" ht="15.75" thickBot="1">
      <c r="A112" s="385"/>
      <c r="B112" s="386"/>
      <c r="C112" s="386"/>
      <c r="D112" s="386"/>
      <c r="E112" s="386"/>
      <c r="F112" s="386"/>
      <c r="G112" s="386"/>
      <c r="H112" s="386"/>
      <c r="I112" s="386"/>
      <c r="J112" s="386"/>
      <c r="K112" s="387"/>
      <c r="L112" s="344"/>
      <c r="M112" s="345"/>
    </row>
    <row r="113" spans="1:13" ht="15.75" thickBot="1">
      <c r="A113" s="346"/>
      <c r="B113" s="26" t="e">
        <f>#REF!</f>
        <v>#REF!</v>
      </c>
      <c r="C113" s="26" t="e">
        <f>#REF!</f>
        <v>#REF!</v>
      </c>
      <c r="D113" s="26" t="e">
        <f>#REF!</f>
        <v>#REF!</v>
      </c>
      <c r="E113" s="26" t="e">
        <f>#REF!</f>
        <v>#REF!</v>
      </c>
      <c r="F113" s="26" t="e">
        <f>#REF!</f>
        <v>#REF!</v>
      </c>
      <c r="G113" s="26" t="e">
        <f>#REF!</f>
        <v>#REF!</v>
      </c>
      <c r="H113" s="26" t="e">
        <f>#REF!</f>
        <v>#REF!</v>
      </c>
      <c r="I113" s="26" t="e">
        <f>#REF!</f>
        <v>#REF!</v>
      </c>
      <c r="J113" s="26" t="e">
        <f>#REF!</f>
        <v>#REF!</v>
      </c>
      <c r="K113" s="26" t="e">
        <f>#REF!</f>
        <v>#REF!</v>
      </c>
      <c r="L113" s="344"/>
      <c r="M113" s="345"/>
    </row>
    <row r="114" spans="1:13">
      <c r="A114" s="373" t="e">
        <f>#REF!</f>
        <v>#REF!</v>
      </c>
      <c r="B114" s="370" t="e">
        <f>#REF!</f>
        <v>#REF!</v>
      </c>
      <c r="C114" s="370" t="e">
        <f>#REF!</f>
        <v>#REF!</v>
      </c>
      <c r="D114" s="370" t="e">
        <f>#REF!</f>
        <v>#REF!</v>
      </c>
      <c r="E114" s="370" t="e">
        <f>#REF!</f>
        <v>#REF!</v>
      </c>
      <c r="F114" s="370" t="e">
        <f>#REF!</f>
        <v>#REF!</v>
      </c>
      <c r="G114" s="370" t="e">
        <f>#REF!</f>
        <v>#REF!</v>
      </c>
      <c r="H114" s="370" t="e">
        <f>#REF!</f>
        <v>#REF!</v>
      </c>
      <c r="I114" s="370" t="e">
        <f>#REF!</f>
        <v>#REF!</v>
      </c>
      <c r="J114" s="370" t="e">
        <f>#REF!</f>
        <v>#REF!</v>
      </c>
      <c r="K114" s="370" t="e">
        <f>#REF!</f>
        <v>#REF!</v>
      </c>
      <c r="L114" s="344"/>
      <c r="M114" s="345"/>
    </row>
    <row r="115" spans="1:13">
      <c r="A115" s="374" t="e">
        <f>#REF!</f>
        <v>#REF!</v>
      </c>
      <c r="B115" s="371" t="e">
        <f>#REF!</f>
        <v>#REF!</v>
      </c>
      <c r="C115" s="371" t="e">
        <f>#REF!</f>
        <v>#REF!</v>
      </c>
      <c r="D115" s="371" t="e">
        <f>#REF!</f>
        <v>#REF!</v>
      </c>
      <c r="E115" s="371" t="e">
        <f>#REF!</f>
        <v>#REF!</v>
      </c>
      <c r="F115" s="371" t="e">
        <f>#REF!</f>
        <v>#REF!</v>
      </c>
      <c r="G115" s="371" t="e">
        <f>#REF!</f>
        <v>#REF!</v>
      </c>
      <c r="H115" s="371" t="e">
        <f>#REF!</f>
        <v>#REF!</v>
      </c>
      <c r="I115" s="371" t="e">
        <f>#REF!</f>
        <v>#REF!</v>
      </c>
      <c r="J115" s="371" t="e">
        <f>#REF!</f>
        <v>#REF!</v>
      </c>
      <c r="K115" s="371" t="e">
        <f>#REF!</f>
        <v>#REF!</v>
      </c>
      <c r="L115" s="344"/>
      <c r="M115" s="345"/>
    </row>
    <row r="116" spans="1:13" ht="15.75" thickBot="1">
      <c r="A116" s="375" t="e">
        <f>#REF!</f>
        <v>#REF!</v>
      </c>
      <c r="B116" s="372" t="e">
        <f>#REF!</f>
        <v>#REF!</v>
      </c>
      <c r="C116" s="372" t="e">
        <f>#REF!</f>
        <v>#REF!</v>
      </c>
      <c r="D116" s="372" t="e">
        <f>#REF!</f>
        <v>#REF!</v>
      </c>
      <c r="E116" s="372" t="e">
        <f>#REF!</f>
        <v>#REF!</v>
      </c>
      <c r="F116" s="372" t="e">
        <f>#REF!</f>
        <v>#REF!</v>
      </c>
      <c r="G116" s="372" t="e">
        <f>#REF!</f>
        <v>#REF!</v>
      </c>
      <c r="H116" s="372" t="e">
        <f>#REF!</f>
        <v>#REF!</v>
      </c>
      <c r="I116" s="372" t="e">
        <f>#REF!</f>
        <v>#REF!</v>
      </c>
      <c r="J116" s="372" t="e">
        <f>#REF!</f>
        <v>#REF!</v>
      </c>
      <c r="K116" s="372" t="e">
        <f>#REF!</f>
        <v>#REF!</v>
      </c>
      <c r="L116" s="344"/>
      <c r="M116" s="345"/>
    </row>
    <row r="117" spans="1:13" ht="15.75" thickBot="1">
      <c r="A117" s="346"/>
      <c r="B117" s="26" t="e">
        <f>#REF!</f>
        <v>#REF!</v>
      </c>
      <c r="C117" s="26" t="e">
        <f>#REF!</f>
        <v>#REF!</v>
      </c>
      <c r="D117" s="26" t="e">
        <f>#REF!</f>
        <v>#REF!</v>
      </c>
      <c r="E117" s="26" t="e">
        <f>#REF!</f>
        <v>#REF!</v>
      </c>
      <c r="F117" s="26" t="e">
        <f>#REF!</f>
        <v>#REF!</v>
      </c>
      <c r="G117" s="26" t="e">
        <f>#REF!</f>
        <v>#REF!</v>
      </c>
      <c r="H117" s="26" t="e">
        <f>#REF!</f>
        <v>#REF!</v>
      </c>
      <c r="I117" s="26" t="e">
        <f>#REF!</f>
        <v>#REF!</v>
      </c>
      <c r="J117" s="26" t="e">
        <f>#REF!</f>
        <v>#REF!</v>
      </c>
      <c r="K117" s="26" t="e">
        <f>#REF!</f>
        <v>#REF!</v>
      </c>
      <c r="L117" s="344"/>
      <c r="M117" s="345"/>
    </row>
    <row r="118" spans="1:13">
      <c r="A118" s="346"/>
      <c r="B118" s="344"/>
      <c r="C118" s="344"/>
      <c r="D118" s="344"/>
      <c r="E118" s="344"/>
      <c r="F118" s="344"/>
      <c r="G118" s="344"/>
      <c r="H118" s="344"/>
      <c r="I118" s="344"/>
      <c r="J118" s="344"/>
      <c r="K118" s="386"/>
      <c r="L118" s="344"/>
      <c r="M118" s="345"/>
    </row>
    <row r="119" spans="1:13">
      <c r="A119" s="346"/>
      <c r="B119" s="344"/>
      <c r="C119" s="344"/>
      <c r="D119" s="344"/>
      <c r="E119" s="344"/>
      <c r="F119" s="344"/>
      <c r="G119" s="344"/>
      <c r="H119" s="344"/>
      <c r="I119" s="344"/>
      <c r="J119" s="344"/>
      <c r="K119" s="344"/>
      <c r="L119" s="344"/>
      <c r="M119" s="345"/>
    </row>
    <row r="120" spans="1:13">
      <c r="A120" s="346"/>
      <c r="B120" s="344"/>
      <c r="C120" s="344"/>
      <c r="D120" s="344"/>
      <c r="E120" s="344"/>
      <c r="F120" s="344"/>
      <c r="G120" s="344"/>
      <c r="H120" s="344"/>
      <c r="I120" s="344"/>
      <c r="J120" s="344"/>
      <c r="K120" s="344"/>
      <c r="L120" s="344"/>
      <c r="M120" s="398"/>
    </row>
    <row r="121" spans="1:13">
      <c r="A121" s="346"/>
      <c r="B121" s="344"/>
      <c r="C121" s="344"/>
      <c r="D121" s="344"/>
      <c r="E121" s="344"/>
      <c r="F121" s="344"/>
      <c r="G121" s="344"/>
      <c r="H121" s="344"/>
      <c r="I121" s="344"/>
      <c r="J121" s="344"/>
      <c r="K121" s="344"/>
      <c r="L121" s="344"/>
      <c r="M121" s="345"/>
    </row>
    <row r="122" spans="1:13">
      <c r="A122" s="346"/>
      <c r="B122" s="344"/>
      <c r="C122" s="344"/>
      <c r="D122" s="344"/>
      <c r="E122" s="344"/>
      <c r="F122" s="344"/>
      <c r="G122" s="344"/>
      <c r="H122" s="344"/>
      <c r="I122" s="344"/>
      <c r="J122" s="344"/>
      <c r="K122" s="344"/>
      <c r="L122" s="344"/>
      <c r="M122" s="345"/>
    </row>
    <row r="123" spans="1:13">
      <c r="A123" s="346"/>
      <c r="B123" s="344"/>
      <c r="C123" s="344"/>
      <c r="D123" s="344"/>
      <c r="E123" s="344"/>
      <c r="F123" s="344"/>
      <c r="G123" s="344"/>
      <c r="H123" s="344"/>
      <c r="I123" s="344"/>
      <c r="J123" s="344"/>
      <c r="K123" s="344"/>
      <c r="L123" s="344"/>
      <c r="M123" s="345"/>
    </row>
    <row r="124" spans="1:13">
      <c r="A124" s="346"/>
      <c r="B124" s="344"/>
      <c r="C124" s="344"/>
      <c r="D124" s="344"/>
      <c r="E124" s="344"/>
      <c r="F124" s="344"/>
      <c r="G124" s="344"/>
      <c r="H124" s="344"/>
      <c r="I124" s="344"/>
      <c r="J124" s="344"/>
      <c r="K124" s="344"/>
      <c r="L124" s="344"/>
      <c r="M124" s="345"/>
    </row>
    <row r="125" spans="1:13">
      <c r="A125" s="346"/>
      <c r="B125" s="344"/>
      <c r="C125" s="344"/>
      <c r="D125" s="344"/>
      <c r="E125" s="344"/>
      <c r="F125" s="344"/>
      <c r="G125" s="344"/>
      <c r="H125" s="344"/>
      <c r="I125" s="344"/>
      <c r="J125" s="344"/>
      <c r="K125" s="344"/>
      <c r="L125" s="344"/>
      <c r="M125" s="345"/>
    </row>
    <row r="126" spans="1:13">
      <c r="A126" s="346"/>
      <c r="B126" s="344"/>
      <c r="C126" s="344"/>
      <c r="D126" s="344"/>
      <c r="E126" s="344"/>
      <c r="F126" s="344"/>
      <c r="G126" s="344"/>
      <c r="H126" s="344"/>
      <c r="I126" s="344"/>
      <c r="J126" s="344"/>
      <c r="K126" s="344"/>
      <c r="L126" s="344"/>
      <c r="M126" s="345"/>
    </row>
    <row r="127" spans="1:13">
      <c r="A127" s="346"/>
      <c r="B127" s="344"/>
      <c r="C127" s="344"/>
      <c r="D127" s="344"/>
      <c r="E127" s="344"/>
      <c r="F127" s="344"/>
      <c r="G127" s="344"/>
      <c r="H127" s="344"/>
      <c r="I127" s="344"/>
      <c r="J127" s="344"/>
      <c r="K127" s="344"/>
      <c r="L127" s="344"/>
      <c r="M127" s="345"/>
    </row>
    <row r="128" spans="1:13">
      <c r="A128" s="346"/>
      <c r="B128" s="344"/>
      <c r="C128" s="344"/>
      <c r="D128" s="344"/>
      <c r="E128" s="344"/>
      <c r="F128" s="344"/>
      <c r="G128" s="344"/>
      <c r="H128" s="344"/>
      <c r="I128" s="344"/>
      <c r="J128" s="344"/>
      <c r="K128" s="344"/>
      <c r="L128" s="344"/>
      <c r="M128" s="345"/>
    </row>
    <row r="129" spans="1:13">
      <c r="A129" s="346"/>
      <c r="B129" s="344"/>
      <c r="C129" s="344"/>
      <c r="D129" s="344"/>
      <c r="E129" s="344"/>
      <c r="F129" s="344"/>
      <c r="G129" s="344"/>
      <c r="H129" s="344"/>
      <c r="I129" s="344"/>
      <c r="J129" s="344"/>
      <c r="K129" s="344"/>
      <c r="L129" s="344"/>
      <c r="M129" s="345"/>
    </row>
    <row r="130" spans="1:13">
      <c r="A130" s="346"/>
      <c r="B130" s="344"/>
      <c r="C130" s="344"/>
      <c r="D130" s="344"/>
      <c r="E130" s="344"/>
      <c r="F130" s="344"/>
      <c r="G130" s="344"/>
      <c r="H130" s="344"/>
      <c r="I130" s="344"/>
      <c r="J130" s="344"/>
      <c r="K130" s="344"/>
      <c r="L130" s="344"/>
      <c r="M130" s="345"/>
    </row>
    <row r="131" spans="1:13">
      <c r="A131" s="346"/>
      <c r="B131" s="344"/>
      <c r="C131" s="344"/>
      <c r="D131" s="344"/>
      <c r="E131" s="344"/>
      <c r="F131" s="344"/>
      <c r="G131" s="344"/>
      <c r="H131" s="344"/>
      <c r="I131" s="344"/>
      <c r="J131" s="344"/>
      <c r="K131" s="344"/>
      <c r="L131" s="344"/>
      <c r="M131" s="345"/>
    </row>
    <row r="132" spans="1:13">
      <c r="A132" s="346"/>
      <c r="B132" s="344"/>
      <c r="C132" s="344"/>
      <c r="D132" s="344"/>
      <c r="E132" s="344"/>
      <c r="F132" s="344"/>
      <c r="G132" s="344"/>
      <c r="H132" s="344"/>
      <c r="I132" s="344"/>
      <c r="J132" s="344"/>
      <c r="K132" s="344"/>
      <c r="L132" s="344"/>
      <c r="M132" s="345"/>
    </row>
    <row r="133" spans="1:13">
      <c r="A133" s="346"/>
      <c r="B133" s="344"/>
      <c r="C133" s="344"/>
      <c r="D133" s="344"/>
      <c r="E133" s="344"/>
      <c r="F133" s="344"/>
      <c r="G133" s="344"/>
      <c r="H133" s="344"/>
      <c r="I133" s="344"/>
      <c r="J133" s="344"/>
      <c r="K133" s="344"/>
      <c r="L133" s="344"/>
      <c r="M133" s="345"/>
    </row>
    <row r="134" spans="1:13" ht="15.75" thickBot="1">
      <c r="A134" s="352"/>
      <c r="B134" s="353"/>
      <c r="C134" s="353"/>
      <c r="D134" s="353"/>
      <c r="E134" s="353"/>
      <c r="F134" s="353"/>
      <c r="G134" s="353"/>
      <c r="H134" s="353"/>
      <c r="I134" s="353"/>
      <c r="J134" s="353"/>
      <c r="K134" s="353"/>
      <c r="L134" s="344"/>
      <c r="M134" s="345"/>
    </row>
    <row r="135" spans="1:13">
      <c r="A135" s="364" t="s">
        <v>943</v>
      </c>
      <c r="B135" s="364"/>
      <c r="C135" s="364"/>
      <c r="D135" s="364"/>
      <c r="E135" s="364"/>
      <c r="F135" s="364"/>
      <c r="G135" s="364"/>
      <c r="H135" s="364"/>
      <c r="I135" s="364"/>
      <c r="J135" s="365"/>
      <c r="K135" s="365"/>
      <c r="L135" s="365"/>
      <c r="M135" s="365"/>
    </row>
    <row r="136" spans="1:13" ht="15.75" thickBot="1">
      <c r="A136" s="346"/>
      <c r="B136" s="344"/>
      <c r="C136" s="344"/>
      <c r="K136" s="344"/>
      <c r="L136" s="344"/>
      <c r="M136" s="345"/>
    </row>
    <row r="137" spans="1:13" ht="15.75" thickBot="1">
      <c r="A137" s="346"/>
      <c r="B137" s="388" t="e">
        <f>#REF!</f>
        <v>#REF!</v>
      </c>
      <c r="C137" s="388" t="e">
        <f>#REF!</f>
        <v>#REF!</v>
      </c>
      <c r="D137" s="388" t="e">
        <f>#REF!</f>
        <v>#REF!</v>
      </c>
      <c r="E137" s="388" t="e">
        <f>#REF!</f>
        <v>#REF!</v>
      </c>
      <c r="F137" s="388" t="e">
        <f>#REF!</f>
        <v>#REF!</v>
      </c>
      <c r="G137" s="388" t="e">
        <f>#REF!</f>
        <v>#REF!</v>
      </c>
      <c r="H137" s="388" t="e">
        <f>#REF!</f>
        <v>#REF!</v>
      </c>
      <c r="I137" s="388" t="e">
        <f>#REF!</f>
        <v>#REF!</v>
      </c>
      <c r="J137" s="388" t="e">
        <f>#REF!</f>
        <v>#REF!</v>
      </c>
      <c r="K137" s="400" t="s">
        <v>601</v>
      </c>
      <c r="L137" s="344"/>
      <c r="M137" s="345"/>
    </row>
    <row r="138" spans="1:13">
      <c r="A138" s="373" t="e">
        <f>#REF!</f>
        <v>#REF!</v>
      </c>
      <c r="B138" s="391" t="e">
        <f>#REF!</f>
        <v>#REF!</v>
      </c>
      <c r="C138" s="391" t="e">
        <f>#REF!</f>
        <v>#REF!</v>
      </c>
      <c r="D138" s="391" t="e">
        <f>#REF!</f>
        <v>#REF!</v>
      </c>
      <c r="E138" s="391" t="e">
        <f>#REF!</f>
        <v>#REF!</v>
      </c>
      <c r="F138" s="391" t="e">
        <f>#REF!</f>
        <v>#REF!</v>
      </c>
      <c r="G138" s="391" t="e">
        <f>#REF!</f>
        <v>#REF!</v>
      </c>
      <c r="H138" s="391" t="e">
        <f>#REF!</f>
        <v>#REF!</v>
      </c>
      <c r="I138" s="391" t="e">
        <f>#REF!</f>
        <v>#REF!</v>
      </c>
      <c r="J138" s="391" t="e">
        <f>#REF!</f>
        <v>#REF!</v>
      </c>
      <c r="K138" s="392" t="e">
        <f>#REF!</f>
        <v>#REF!</v>
      </c>
      <c r="L138" s="344"/>
      <c r="M138" s="345"/>
    </row>
    <row r="139" spans="1:13">
      <c r="A139" s="393" t="e">
        <f>#REF!</f>
        <v>#REF!</v>
      </c>
      <c r="B139" s="389" t="e">
        <f>#REF!</f>
        <v>#REF!</v>
      </c>
      <c r="C139" s="389" t="e">
        <f>#REF!</f>
        <v>#REF!</v>
      </c>
      <c r="D139" s="389" t="e">
        <f>#REF!</f>
        <v>#REF!</v>
      </c>
      <c r="E139" s="389" t="e">
        <f>#REF!</f>
        <v>#REF!</v>
      </c>
      <c r="F139" s="389" t="e">
        <f>#REF!</f>
        <v>#REF!</v>
      </c>
      <c r="G139" s="389" t="e">
        <f>#REF!</f>
        <v>#REF!</v>
      </c>
      <c r="H139" s="389" t="e">
        <f>#REF!</f>
        <v>#REF!</v>
      </c>
      <c r="I139" s="389" t="e">
        <f>#REF!</f>
        <v>#REF!</v>
      </c>
      <c r="J139" s="389" t="e">
        <f>#REF!</f>
        <v>#REF!</v>
      </c>
      <c r="K139" s="394" t="e">
        <f>#REF!</f>
        <v>#REF!</v>
      </c>
      <c r="L139" s="344"/>
      <c r="M139" s="345"/>
    </row>
    <row r="140" spans="1:13" ht="15.75" thickBot="1">
      <c r="A140" s="375" t="e">
        <f>#REF!</f>
        <v>#REF!</v>
      </c>
      <c r="B140" s="395" t="e">
        <f>#REF!</f>
        <v>#REF!</v>
      </c>
      <c r="C140" s="395" t="e">
        <f>#REF!</f>
        <v>#REF!</v>
      </c>
      <c r="D140" s="395" t="e">
        <f>#REF!</f>
        <v>#REF!</v>
      </c>
      <c r="E140" s="395" t="e">
        <f>#REF!</f>
        <v>#REF!</v>
      </c>
      <c r="F140" s="395" t="e">
        <f>#REF!</f>
        <v>#REF!</v>
      </c>
      <c r="G140" s="395" t="e">
        <f>#REF!</f>
        <v>#REF!</v>
      </c>
      <c r="H140" s="395" t="e">
        <f>#REF!</f>
        <v>#REF!</v>
      </c>
      <c r="I140" s="395" t="e">
        <f>#REF!</f>
        <v>#REF!</v>
      </c>
      <c r="J140" s="395" t="e">
        <f>#REF!</f>
        <v>#REF!</v>
      </c>
      <c r="K140" s="396" t="e">
        <f>#REF!</f>
        <v>#REF!</v>
      </c>
      <c r="L140" s="344"/>
      <c r="M140" s="345"/>
    </row>
    <row r="141" spans="1:13" ht="15.75" thickBot="1">
      <c r="A141" s="346"/>
      <c r="B141" s="390" t="e">
        <f>#REF!</f>
        <v>#REF!</v>
      </c>
      <c r="C141" s="390" t="e">
        <f>#REF!</f>
        <v>#REF!</v>
      </c>
      <c r="D141" s="390" t="e">
        <f>#REF!</f>
        <v>#REF!</v>
      </c>
      <c r="E141" s="390" t="e">
        <f>#REF!</f>
        <v>#REF!</v>
      </c>
      <c r="F141" s="390" t="e">
        <f>#REF!</f>
        <v>#REF!</v>
      </c>
      <c r="G141" s="390" t="e">
        <f>#REF!</f>
        <v>#REF!</v>
      </c>
      <c r="H141" s="390" t="e">
        <f>#REF!</f>
        <v>#REF!</v>
      </c>
      <c r="I141" s="390" t="e">
        <f>#REF!</f>
        <v>#REF!</v>
      </c>
      <c r="J141" s="390" t="e">
        <f>#REF!</f>
        <v>#REF!</v>
      </c>
      <c r="K141" s="397" t="e">
        <f>#REF!</f>
        <v>#REF!</v>
      </c>
      <c r="L141" s="344"/>
      <c r="M141" s="399">
        <f>COUNTA(B141:J141)</f>
        <v>9</v>
      </c>
    </row>
    <row r="142" spans="1:13">
      <c r="A142" s="346"/>
      <c r="B142" s="344"/>
      <c r="C142" s="344"/>
      <c r="L142" s="344"/>
      <c r="M142" s="345"/>
    </row>
    <row r="143" spans="1:13">
      <c r="A143" s="346"/>
      <c r="B143" s="344"/>
      <c r="C143" s="344"/>
      <c r="M143" s="345"/>
    </row>
    <row r="144" spans="1:13">
      <c r="A144" s="346"/>
      <c r="B144" s="344"/>
      <c r="C144" s="344"/>
      <c r="M144" s="345"/>
    </row>
    <row r="145" spans="1:14">
      <c r="A145" s="346"/>
      <c r="B145" s="344"/>
      <c r="C145" s="344"/>
      <c r="M145" s="345"/>
    </row>
    <row r="146" spans="1:14">
      <c r="A146" s="346"/>
      <c r="B146" s="344"/>
      <c r="C146" s="344"/>
      <c r="M146" s="345"/>
    </row>
    <row r="147" spans="1:14">
      <c r="A147" s="346"/>
      <c r="B147" s="344"/>
      <c r="C147" s="344"/>
      <c r="M147" s="345"/>
    </row>
    <row r="148" spans="1:14">
      <c r="A148" s="346"/>
      <c r="B148" s="344"/>
      <c r="C148" s="344"/>
      <c r="M148" s="345"/>
      <c r="N148" s="769">
        <f>16885-13233</f>
        <v>3652</v>
      </c>
    </row>
    <row r="149" spans="1:14">
      <c r="A149" s="346"/>
      <c r="B149" s="344"/>
      <c r="C149" s="344"/>
      <c r="M149" s="345"/>
      <c r="N149" s="769">
        <f>N148*400</f>
        <v>1460800</v>
      </c>
    </row>
    <row r="150" spans="1:14">
      <c r="A150" s="346"/>
      <c r="B150" s="344"/>
      <c r="C150" s="344"/>
      <c r="M150" s="345"/>
    </row>
    <row r="151" spans="1:14">
      <c r="A151" s="346"/>
      <c r="B151" s="344"/>
      <c r="C151" s="344"/>
      <c r="M151" s="345"/>
    </row>
    <row r="152" spans="1:14">
      <c r="A152" s="346"/>
      <c r="B152" s="344"/>
      <c r="C152" s="344"/>
      <c r="M152" s="345"/>
    </row>
    <row r="153" spans="1:14">
      <c r="A153" s="346"/>
      <c r="B153" s="344"/>
      <c r="C153" s="344"/>
      <c r="M153" s="345"/>
    </row>
    <row r="154" spans="1:14">
      <c r="A154" s="346"/>
      <c r="B154" s="344"/>
      <c r="C154" s="344"/>
      <c r="M154" s="345"/>
    </row>
    <row r="155" spans="1:14">
      <c r="A155" s="346"/>
      <c r="B155" s="344"/>
      <c r="C155" s="344"/>
      <c r="M155" s="345"/>
    </row>
    <row r="156" spans="1:14">
      <c r="A156" s="346"/>
      <c r="B156" s="344"/>
      <c r="C156" s="344"/>
      <c r="M156" s="345"/>
    </row>
    <row r="157" spans="1:14" ht="15.75" thickBot="1">
      <c r="A157" s="352"/>
      <c r="B157" s="353"/>
      <c r="C157" s="353"/>
      <c r="D157" s="353"/>
      <c r="E157" s="353"/>
      <c r="F157" s="353"/>
      <c r="G157" s="353"/>
      <c r="H157" s="353"/>
      <c r="I157" s="353"/>
      <c r="J157" s="353"/>
      <c r="K157" s="353"/>
      <c r="L157" s="353"/>
      <c r="M157" s="354"/>
    </row>
    <row r="158" spans="1:14">
      <c r="A158" s="364" t="s">
        <v>701</v>
      </c>
      <c r="B158" s="364"/>
      <c r="C158" s="364"/>
      <c r="D158" s="364"/>
      <c r="E158" s="364"/>
      <c r="F158" s="364"/>
      <c r="G158" s="364"/>
      <c r="H158" s="364"/>
      <c r="I158" s="364"/>
      <c r="J158" s="365"/>
      <c r="K158" s="365"/>
      <c r="L158" s="365"/>
      <c r="M158" s="365"/>
    </row>
    <row r="160" spans="1:14" s="538" customFormat="1" ht="30.75" customHeight="1">
      <c r="A160" s="33" t="s">
        <v>612</v>
      </c>
      <c r="B160" s="33" t="s">
        <v>702</v>
      </c>
      <c r="C160" s="5"/>
      <c r="D160" s="557" t="s">
        <v>703</v>
      </c>
      <c r="M160" s="558" t="s">
        <v>704</v>
      </c>
    </row>
    <row r="161" spans="1:13">
      <c r="A161" s="1">
        <v>2010</v>
      </c>
      <c r="B161" s="440"/>
      <c r="D161" s="554"/>
      <c r="M161" s="554"/>
    </row>
    <row r="162" spans="1:13">
      <c r="A162" s="1">
        <v>2011</v>
      </c>
      <c r="B162" s="440"/>
      <c r="D162" s="555"/>
      <c r="M162" s="555"/>
    </row>
    <row r="163" spans="1:13">
      <c r="A163" s="1">
        <v>2012</v>
      </c>
      <c r="B163" s="440"/>
      <c r="D163" s="554"/>
      <c r="M163" s="554"/>
    </row>
    <row r="164" spans="1:13">
      <c r="A164" s="1">
        <v>2013</v>
      </c>
      <c r="B164" s="438">
        <f>(SUMPRODUCT((YEAR(Livraison)=2013)*PRP))/(SUMPRODUCT((Nlgts)*(Type&lt;&gt;"Rehab")*(Type&lt;&gt;"PLS")*((YEAR(Livraison)=2013))))</f>
        <v>161887.24285714285</v>
      </c>
      <c r="D164" s="553">
        <f>(SUMPRODUCT((YEAR(Livraison)=2013)*PRP))/(SUMPRODUCT((SF)*(Type&lt;&gt;"Rehab")*(Type&lt;&gt;"PLS")*((YEAR(Livraison)=2013))))</f>
        <v>1942.3317015981404</v>
      </c>
      <c r="M164" s="553">
        <f>(SUMPRODUCT((YEAR(Livraison)=2013)*SF))/(SUMPRODUCT((Nlgts)*(Type&lt;&gt;"Rehab")*(Type&lt;&gt;"PLS")*((YEAR(Livraison)=2013))))</f>
        <v>83.346857142857147</v>
      </c>
    </row>
    <row r="165" spans="1:13">
      <c r="A165" s="1">
        <v>2014</v>
      </c>
      <c r="B165" s="438">
        <f>(SUMPRODUCT((YEAR(Livraison)=2014)*PRP))/(SUMPRODUCT((Nlgts)*(Type&lt;&gt;"Rehab")*(Type&lt;&gt;"PLS")*((YEAR(Livraison)=2014))))</f>
        <v>147358.81969026549</v>
      </c>
      <c r="C165" s="47">
        <f>(Tableau1[[#This Row],[AU LOGEMENT]]-B164)/B164</f>
        <v>-8.9744089222014503E-2</v>
      </c>
      <c r="D165" s="552">
        <f>(SUMPRODUCT((YEAR(Livraison)=2014)*PRP))/(SUMPRODUCT((SF)*(Type&lt;&gt;"Rehab")*(Type&lt;&gt;"PLS")*((YEAR(Livraison)=2014))))</f>
        <v>2010.3655959999253</v>
      </c>
      <c r="E165" s="47">
        <f>(D165-D164)/D164</f>
        <v>3.5026918597789947E-2</v>
      </c>
      <c r="M165" s="552">
        <f>(SUMPRODUCT((YEAR(Livraison)=2014)*SF))/(SUMPRODUCT((Nlgts)*(Type&lt;&gt;"Rehab")*(Type&lt;&gt;"PLS")*((YEAR(Livraison)=2014))))</f>
        <v>73.299513274336277</v>
      </c>
    </row>
    <row r="166" spans="1:13">
      <c r="A166" s="1">
        <v>2015</v>
      </c>
      <c r="B166" s="438">
        <f>(SUMPRODUCT((YEAR(Livraison)=2015)*PRP))/(SUMPRODUCT((Nlgts)*(Type&lt;&gt;"Rehab")*(Type&lt;&gt;"PLS")*((YEAR(Livraison)=2015))))</f>
        <v>157758.8023756906</v>
      </c>
      <c r="C166" s="47">
        <f>(Tableau1[[#This Row],[AU LOGEMENT]]-B165)/B165</f>
        <v>7.0575909248492288E-2</v>
      </c>
      <c r="D166" s="553">
        <f>(SUMPRODUCT((YEAR(Livraison)=2015)*PRP))/(SUMPRODUCT((SF)*(Type&lt;&gt;"Rehab")*(Type&lt;&gt;"PLS")*((YEAR(Livraison)=2015))))</f>
        <v>1963.4316272756525</v>
      </c>
      <c r="E166" s="47">
        <f t="shared" ref="E166:E169" si="29">(D166-D165)/D165</f>
        <v>-2.3345986828295529E-2</v>
      </c>
      <c r="M166" s="553">
        <f>(SUMPRODUCT((YEAR(Livraison)=2015)*SF))/(SUMPRODUCT((Nlgts)*(Type&lt;&gt;"Rehab")*(Type&lt;&gt;"PLS")*((YEAR(Livraison)=2015))))</f>
        <v>80.348508287292816</v>
      </c>
    </row>
    <row r="167" spans="1:13">
      <c r="A167" s="1">
        <v>2016</v>
      </c>
      <c r="B167" s="438">
        <f>(SUMPRODUCT((YEAR(Livraison)=2016)*PRP))/(SUMPRODUCT((Nlgts)*(Type&lt;&gt;"Rehab")*(Type&lt;&gt;"PLS")*((YEAR(Livraison)=2016))))</f>
        <v>170421.64110655736</v>
      </c>
      <c r="C167" s="47">
        <f>(Tableau1[[#This Row],[AU LOGEMENT]]-B166)/B166</f>
        <v>8.0267082027608003E-2</v>
      </c>
      <c r="D167" s="552">
        <f>(SUMPRODUCT((YEAR(Livraison)=2016)*PRP))/(SUMPRODUCT((SF)*(Type&lt;&gt;"Rehab")*(Type&lt;&gt;"PLS")*((YEAR(Livraison)=2016))))</f>
        <v>2065.5732055396047</v>
      </c>
      <c r="E167" s="47">
        <f t="shared" si="29"/>
        <v>5.2021968498937796E-2</v>
      </c>
      <c r="M167" s="552">
        <f>(SUMPRODUCT((YEAR(Livraison)=2016)*SF))/(SUMPRODUCT((Nlgts)*(Type&lt;&gt;"Rehab")*(Type&lt;&gt;"PLS")*((YEAR(Livraison)=2016))))</f>
        <v>82.505737704918033</v>
      </c>
    </row>
    <row r="168" spans="1:13">
      <c r="A168" s="1">
        <v>2017</v>
      </c>
      <c r="B168" s="438">
        <f>(SUMPRODUCT((YEAR(Livraison)=2017)*PRP))/(SUMPRODUCT((Nlgts)*(Type&lt;&gt;"Rehab")*(Type&lt;&gt;"PLS")*((YEAR(Livraison)=2017))))</f>
        <v>175019.85252976191</v>
      </c>
      <c r="C168" s="47">
        <f>(Tableau1[[#This Row],[AU LOGEMENT]]-B167)/B167</f>
        <v>2.6981382137550698E-2</v>
      </c>
      <c r="D168" s="553">
        <f>(SUMPRODUCT((YEAR(Livraison)=2017)*PRP))/(SUMPRODUCT((SF)*(Type&lt;&gt;"Rehab")*(Type&lt;&gt;"PLS")*((YEAR(Livraison)=2017))))</f>
        <v>2054.9852533093563</v>
      </c>
      <c r="E168" s="47">
        <f t="shared" si="29"/>
        <v>-5.1259147832925529E-3</v>
      </c>
      <c r="M168" s="553">
        <f>(SUMPRODUCT((YEAR(Livraison)=2017)*SF))/(SUMPRODUCT((Nlgts)*(Type&lt;&gt;"Rehab")*(Type&lt;&gt;"PLS")*((YEAR(Livraison)=2017))))</f>
        <v>85.168422619047632</v>
      </c>
    </row>
    <row r="169" spans="1:13">
      <c r="A169" s="1">
        <v>2018</v>
      </c>
      <c r="B169" s="438">
        <f>(SUMPRODUCT((YEAR(Livraison)=2018)*PRP))/(SUMPRODUCT((Nlgts)*(Type&lt;&gt;"Rehab")*(Type&lt;&gt;"PLS")*((YEAR(Livraison)=2018))))</f>
        <v>168568.49048319328</v>
      </c>
      <c r="C169" s="47">
        <f>(Tableau1[[#This Row],[AU LOGEMENT]]-B168)/B168</f>
        <v>-3.6860744385963755E-2</v>
      </c>
      <c r="D169" s="552">
        <f>(SUMPRODUCT((YEAR(Livraison)=2018)*PRP))/(SUMPRODUCT((SF)*(Type&lt;&gt;"Rehab")*(Type&lt;&gt;"PLS")*((YEAR(Livraison)=2018))))</f>
        <v>2022.2981275773786</v>
      </c>
      <c r="E169" s="47">
        <f t="shared" si="29"/>
        <v>-1.5906258051895095E-2</v>
      </c>
      <c r="M169" s="552">
        <f>(SUMPRODUCT((YEAR(Livraison)=2018)*SF))/(SUMPRODUCT((Nlgts)*(Type&lt;&gt;"Rehab")*(Type&lt;&gt;"PLS")*((YEAR(Livraison)=2018))))</f>
        <v>83.354915966386557</v>
      </c>
    </row>
    <row r="170" spans="1:13">
      <c r="A170" s="439">
        <v>2019</v>
      </c>
      <c r="B170" s="440">
        <f>(SUMPRODUCT((YEAR(Livraison)=2019)*PRP))/(SUMPRODUCT((Nlgts)*(Type&lt;&gt;"Rehab")*(Type&lt;&gt;"PLS")*((YEAR(Livraison)=2019))))</f>
        <v>206881.45304347828</v>
      </c>
      <c r="D170" s="555">
        <f>(SUMPRODUCT((YEAR(Livraison)=2019)*PRP))/(SUMPRODUCT((SF)*(Type&lt;&gt;"Rehab")*(Type&lt;&gt;"PLS")*((YEAR(Livraison)=2019))))</f>
        <v>3048.1933852531779</v>
      </c>
      <c r="M170" s="555">
        <f>(SUMPRODUCT((YEAR(Livraison)=2019)*SF))/(SUMPRODUCT((Nlgts)*(Type&lt;&gt;"Rehab")*(Type&lt;&gt;"PLS")*((YEAR(Livraison)=2019))))</f>
        <v>86.424285714285716</v>
      </c>
    </row>
    <row r="171" spans="1:13">
      <c r="A171" s="439">
        <v>2020</v>
      </c>
      <c r="B171" s="440">
        <f>(SUMPRODUCT((YEAR(Livraison)=2020)*PRP))/(SUMPRODUCT((Nlgts)*(Type&lt;&gt;"Rehab")*(Type&lt;&gt;"PLS")*((YEAR(Livraison)=2020))))</f>
        <v>160216.74452975049</v>
      </c>
      <c r="D171" s="554">
        <f>(SUMPRODUCT((YEAR(Livraison)=2020)*PRP))/(SUMPRODUCT((SF)*(Type&lt;&gt;"Rehab")*(Type&lt;&gt;"PLS")*((YEAR(Livraison)=2020))))</f>
        <v>2095.0219659637992</v>
      </c>
      <c r="M171" s="554">
        <f>(SUMPRODUCT((YEAR(Livraison)=2020)*SF))/(SUMPRODUCT((Nlgts)*(Type&lt;&gt;"Rehab")*(Type&lt;&gt;"PLS")*((YEAR(Livraison)=2020))))</f>
        <v>76.474971209213066</v>
      </c>
    </row>
    <row r="172" spans="1:13">
      <c r="A172" s="439">
        <v>2021</v>
      </c>
      <c r="B172" s="440">
        <f>(SUMPRODUCT((YEAR(Livraison)=2021)*PRP))/(SUMPRODUCT((Nlgts)*(Type&lt;&gt;"Rehab")*(Type&lt;&gt;"PLS")*((YEAR(Livraison)=2021))))</f>
        <v>0</v>
      </c>
      <c r="D172" s="555" t="e">
        <f>(SUMPRODUCT((YEAR(Livraison)=2021)*PRP))/(SUMPRODUCT((SF)*(Type&lt;&gt;"Rehab")*(Type&lt;&gt;"PLS")*((YEAR(Livraison)=2021))))</f>
        <v>#DIV/0!</v>
      </c>
      <c r="M172" s="555">
        <f>(SUMPRODUCT((YEAR(Livraison)=2021)*SF))/(SUMPRODUCT((Nlgts)*(Type&lt;&gt;"Rehab")*(Type&lt;&gt;"PLS")*((YEAR(Livraison)=2021))))</f>
        <v>0</v>
      </c>
    </row>
    <row r="174" spans="1:13" ht="15.75">
      <c r="B174" s="530"/>
      <c r="C174" s="530"/>
    </row>
    <row r="176" spans="1:13" ht="173.25">
      <c r="A176" s="556" t="s">
        <v>700</v>
      </c>
    </row>
    <row r="178" spans="1:13" ht="15.75">
      <c r="A178" s="530" t="s">
        <v>693</v>
      </c>
      <c r="B178" s="531">
        <v>2014</v>
      </c>
      <c r="C178" s="531">
        <v>2016</v>
      </c>
    </row>
    <row r="179" spans="1:13" ht="15.75">
      <c r="A179" s="530" t="s">
        <v>694</v>
      </c>
      <c r="B179" s="532">
        <v>143500</v>
      </c>
      <c r="C179" s="532">
        <v>145300</v>
      </c>
    </row>
    <row r="180" spans="1:13" ht="15.75">
      <c r="A180" s="530" t="s">
        <v>695</v>
      </c>
      <c r="B180" s="532">
        <v>2158</v>
      </c>
      <c r="C180" s="532">
        <v>2225</v>
      </c>
    </row>
    <row r="181" spans="1:13" ht="15.75" thickBot="1"/>
    <row r="182" spans="1:13">
      <c r="A182" s="364" t="s">
        <v>705</v>
      </c>
      <c r="B182" s="364"/>
      <c r="C182" s="364"/>
      <c r="D182" s="364"/>
      <c r="E182" s="364"/>
      <c r="F182" s="364"/>
      <c r="G182" s="364"/>
      <c r="H182" s="364"/>
      <c r="I182" s="364"/>
      <c r="J182" s="365"/>
      <c r="K182" s="365"/>
      <c r="L182" s="365"/>
      <c r="M182" s="365"/>
    </row>
    <row r="184" spans="1:13">
      <c r="A184" t="s">
        <v>683</v>
      </c>
    </row>
    <row r="185" spans="1:13">
      <c r="A185" t="s">
        <v>685</v>
      </c>
    </row>
    <row r="186" spans="1:13">
      <c r="A186" t="s">
        <v>684</v>
      </c>
    </row>
    <row r="187" spans="1:13">
      <c r="A187" t="s">
        <v>686</v>
      </c>
    </row>
    <row r="188" spans="1:13">
      <c r="A188" t="s">
        <v>689</v>
      </c>
    </row>
    <row r="189" spans="1:13">
      <c r="A189" t="s">
        <v>690</v>
      </c>
    </row>
    <row r="190" spans="1:13">
      <c r="A190" t="s">
        <v>691</v>
      </c>
    </row>
    <row r="191" spans="1:13">
      <c r="A191" t="s">
        <v>692</v>
      </c>
    </row>
  </sheetData>
  <mergeCells count="3">
    <mergeCell ref="B48:C48"/>
    <mergeCell ref="D48:E48"/>
    <mergeCell ref="F48:G48"/>
  </mergeCells>
  <pageMargins left="0.7" right="0.7" top="0.75" bottom="0.75" header="0.3" footer="0.3"/>
  <pageSetup paperSize="8" scale="35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8E61D"/>
    <pageSetUpPr fitToPage="1"/>
  </sheetPr>
  <dimension ref="A1:JG218"/>
  <sheetViews>
    <sheetView view="pageBreakPreview" zoomScale="85" zoomScaleNormal="70" zoomScaleSheetLayoutView="85" workbookViewId="0">
      <pane xSplit="1" ySplit="1" topLeftCell="BS40" activePane="bottomRight" state="frozen"/>
      <selection pane="topRight" activeCell="B1" sqref="B1"/>
      <selection pane="bottomLeft" activeCell="A2" sqref="A2"/>
      <selection pane="bottomRight" activeCell="BV42" sqref="BV42"/>
    </sheetView>
  </sheetViews>
  <sheetFormatPr baseColWidth="10" defaultColWidth="11.42578125" defaultRowHeight="15" outlineLevelCol="1"/>
  <cols>
    <col min="1" max="1" width="27.85546875" style="433" customWidth="1"/>
    <col min="2" max="2" width="17" style="15" customWidth="1"/>
    <col min="3" max="3" width="16.42578125" style="15" customWidth="1"/>
    <col min="4" max="4" width="10" style="15" customWidth="1"/>
    <col min="5" max="5" width="12.85546875" style="15" customWidth="1"/>
    <col min="6" max="6" width="12.5703125" style="15" customWidth="1"/>
    <col min="7" max="7" width="8.42578125" style="15" customWidth="1"/>
    <col min="8" max="8" width="18.7109375" style="15" customWidth="1"/>
    <col min="9" max="9" width="20.7109375" style="15" customWidth="1"/>
    <col min="10" max="10" width="16.5703125" style="15" customWidth="1"/>
    <col min="11" max="11" width="70.5703125" style="336" customWidth="1" outlineLevel="1"/>
    <col min="12" max="12" width="18.5703125" style="207" customWidth="1" outlineLevel="1"/>
    <col min="13" max="13" width="13.28515625" style="207" customWidth="1" outlineLevel="1"/>
    <col min="14" max="14" width="21.5703125" style="207" customWidth="1" outlineLevel="1"/>
    <col min="15" max="27" width="17.85546875" style="15" customWidth="1" outlineLevel="1"/>
    <col min="28" max="28" width="22" style="15" customWidth="1" outlineLevel="1"/>
    <col min="29" max="29" width="10" style="15" customWidth="1"/>
    <col min="30" max="30" width="11.42578125" style="15" customWidth="1" collapsed="1"/>
    <col min="31" max="31" width="9.42578125" style="15" customWidth="1"/>
    <col min="32" max="32" width="11.85546875" style="15" customWidth="1" collapsed="1"/>
    <col min="33" max="34" width="11.85546875" style="15" customWidth="1"/>
    <col min="35" max="35" width="11.85546875" style="15" customWidth="1" outlineLevel="1"/>
    <col min="36" max="36" width="12.42578125" style="15" customWidth="1" outlineLevel="1"/>
    <col min="37" max="37" width="10.5703125" style="15" customWidth="1" outlineLevel="1"/>
    <col min="38" max="43" width="15.5703125" style="15" customWidth="1" outlineLevel="1"/>
    <col min="44" max="44" width="15.5703125" style="151" customWidth="1" outlineLevel="1"/>
    <col min="45" max="45" width="15.5703125" style="32" customWidth="1" outlineLevel="1"/>
    <col min="46" max="48" width="15.5703125" style="15" customWidth="1" outlineLevel="1"/>
    <col min="49" max="50" width="15.5703125" style="15" customWidth="1"/>
    <col min="51" max="51" width="17.85546875" style="188" customWidth="1" outlineLevel="1"/>
    <col min="52" max="52" width="15.5703125" style="188" customWidth="1" outlineLevel="1"/>
    <col min="53" max="53" width="19.42578125" style="188" customWidth="1"/>
    <col min="54" max="55" width="21.5703125" style="188" customWidth="1"/>
    <col min="56" max="56" width="19.42578125" style="188" customWidth="1"/>
    <col min="57" max="58" width="21" style="188" customWidth="1"/>
    <col min="59" max="59" width="20.5703125" style="188" customWidth="1" outlineLevel="1"/>
    <col min="60" max="61" width="18.42578125" style="188" customWidth="1" outlineLevel="1"/>
    <col min="62" max="66" width="21.42578125" style="188" customWidth="1" outlineLevel="1"/>
    <col min="67" max="67" width="18.42578125" style="188" customWidth="1" outlineLevel="1"/>
    <col min="68" max="68" width="29.5703125" style="188" customWidth="1" outlineLevel="1"/>
    <col min="69" max="69" width="15.5703125" style="188" customWidth="1" outlineLevel="1"/>
    <col min="70" max="70" width="20.42578125" style="188" customWidth="1" outlineLevel="1"/>
    <col min="71" max="71" width="25.42578125" style="188" customWidth="1" outlineLevel="1"/>
    <col min="72" max="72" width="26" style="189" customWidth="1" outlineLevel="1"/>
    <col min="73" max="73" width="19.140625" style="188" customWidth="1"/>
    <col min="74" max="74" width="27.28515625" style="234" customWidth="1"/>
    <col min="75" max="75" width="18" style="234" customWidth="1"/>
    <col min="76" max="80" width="18" style="188" customWidth="1"/>
    <col min="81" max="81" width="18" style="778" customWidth="1"/>
    <col min="82" max="82" width="23.7109375" style="15" customWidth="1" outlineLevel="1"/>
    <col min="83" max="84" width="15.5703125" style="15" customWidth="1" outlineLevel="1"/>
    <col min="85" max="85" width="21.28515625" style="15" customWidth="1" outlineLevel="1"/>
    <col min="86" max="87" width="15.5703125" style="241" customWidth="1" outlineLevel="1"/>
    <col min="88" max="88" width="21.28515625" style="15" customWidth="1" outlineLevel="1"/>
    <col min="89" max="89" width="15.5703125" style="15" customWidth="1" outlineLevel="1"/>
    <col min="90" max="90" width="10.85546875" style="15" customWidth="1" outlineLevel="1"/>
    <col min="91" max="91" width="11.140625" style="15" customWidth="1" outlineLevel="1"/>
    <col min="92" max="92" width="11.7109375" style="15" customWidth="1" outlineLevel="1"/>
    <col min="93" max="93" width="10.85546875" style="15" customWidth="1" outlineLevel="1"/>
    <col min="94" max="95" width="19.42578125" style="15" customWidth="1" outlineLevel="1"/>
    <col min="96" max="96" width="14.7109375" style="15" customWidth="1" outlineLevel="1"/>
    <col min="97" max="97" width="20" style="15" customWidth="1" outlineLevel="1"/>
    <col min="98" max="99" width="15.5703125" style="15" customWidth="1" outlineLevel="1"/>
    <col min="100" max="100" width="23" style="15" customWidth="1" outlineLevel="1"/>
    <col min="101" max="101" width="18.28515625" style="15" customWidth="1" outlineLevel="1"/>
    <col min="102" max="102" width="19" style="15" customWidth="1" outlineLevel="1"/>
    <col min="103" max="103" width="19" style="419" customWidth="1" outlineLevel="1"/>
    <col min="104" max="104" width="19" style="15" customWidth="1" outlineLevel="1"/>
    <col min="105" max="110" width="9.42578125" style="15" customWidth="1" outlineLevel="1"/>
    <col min="111" max="111" width="14" style="15" customWidth="1" outlineLevel="1"/>
    <col min="112" max="116" width="9.42578125" style="15" customWidth="1"/>
    <col min="117" max="117" width="13.42578125" style="15" customWidth="1"/>
    <col min="118" max="118" width="15" style="15" customWidth="1"/>
    <col min="119" max="119" width="21.140625" style="15" customWidth="1"/>
    <col min="120" max="120" width="12.140625" style="15" customWidth="1"/>
    <col min="121" max="123" width="9.42578125" style="15" customWidth="1"/>
    <col min="124" max="124" width="30.7109375" style="15" customWidth="1"/>
    <col min="125" max="126" width="30.7109375" style="734" customWidth="1"/>
    <col min="127" max="127" width="30.7109375" style="33" customWidth="1"/>
    <col min="128" max="128" width="30.7109375" style="15" customWidth="1"/>
    <col min="129" max="129" width="30.7109375" style="734" customWidth="1"/>
    <col min="130" max="130" width="30.7109375" style="15" customWidth="1"/>
    <col min="131" max="131" width="30.7109375" style="734" customWidth="1"/>
    <col min="132" max="136" width="30.7109375" style="15" customWidth="1"/>
    <col min="137" max="138" width="30.7109375" style="734" customWidth="1"/>
    <col min="139" max="139" width="30.7109375" style="15" customWidth="1"/>
    <col min="140" max="142" width="30.7109375" style="734" customWidth="1"/>
    <col min="143" max="143" width="30.7109375" style="15" customWidth="1"/>
    <col min="144" max="145" width="30.7109375" style="734" customWidth="1"/>
    <col min="146" max="146" width="30.7109375" style="15" customWidth="1"/>
    <col min="147" max="148" width="30.7109375" style="734" customWidth="1"/>
    <col min="149" max="149" width="30.7109375" style="33" customWidth="1"/>
    <col min="150" max="151" width="30.7109375" style="734" customWidth="1"/>
    <col min="152" max="152" width="30.7109375" style="15" customWidth="1"/>
    <col min="153" max="154" width="30.7109375" style="734" customWidth="1"/>
    <col min="155" max="155" width="30.7109375" style="15" customWidth="1"/>
    <col min="156" max="157" width="30.7109375" style="734" customWidth="1"/>
    <col min="158" max="158" width="30.7109375" style="15" customWidth="1"/>
    <col min="159" max="160" width="30.7109375" style="734" customWidth="1"/>
    <col min="161" max="161" width="30.7109375" style="15" customWidth="1"/>
    <col min="162" max="163" width="30.7109375" style="734" customWidth="1"/>
    <col min="164" max="164" width="30.7109375" style="15" customWidth="1"/>
    <col min="165" max="166" width="30.7109375" style="740" customWidth="1"/>
    <col min="167" max="167" width="30.7109375" style="17" customWidth="1"/>
    <col min="168" max="172" width="30.7109375" style="740" customWidth="1"/>
    <col min="173" max="173" width="19.28515625" style="17" customWidth="1"/>
    <col min="174" max="175" width="30.7109375" style="740" customWidth="1"/>
    <col min="176" max="177" width="30.7109375" style="765" customWidth="1"/>
    <col min="178" max="179" width="30.7109375" style="765" hidden="1" customWidth="1"/>
    <col min="180" max="183" width="30.7109375" style="17" hidden="1" customWidth="1"/>
    <col min="184" max="184" width="50.42578125" style="17" hidden="1" customWidth="1"/>
    <col min="185" max="185" width="37" style="17" hidden="1" customWidth="1"/>
    <col min="186" max="186" width="18" style="188" hidden="1" customWidth="1" outlineLevel="1"/>
    <col min="187" max="187" width="27" style="825" hidden="1" customWidth="1" outlineLevel="1"/>
    <col min="188" max="188" width="18.7109375" style="15" hidden="1" customWidth="1" outlineLevel="1"/>
    <col min="189" max="190" width="18" style="15" customWidth="1" outlineLevel="1"/>
    <col min="191" max="191" width="11.42578125" style="15" customWidth="1" outlineLevel="1"/>
    <col min="192" max="192" width="12" style="15" customWidth="1" outlineLevel="1"/>
    <col min="193" max="195" width="15.5703125" style="15" customWidth="1" outlineLevel="1"/>
    <col min="196" max="196" width="9.5703125" style="15" customWidth="1" outlineLevel="1"/>
    <col min="197" max="197" width="19.85546875" style="15" customWidth="1" outlineLevel="1"/>
    <col min="198" max="198" width="15.5703125" style="15" customWidth="1" outlineLevel="1"/>
    <col min="199" max="200" width="17" style="15" customWidth="1" outlineLevel="1"/>
    <col min="201" max="201" width="12.5703125" style="15" customWidth="1" outlineLevel="1"/>
    <col min="202" max="202" width="15.5703125" style="15" customWidth="1" outlineLevel="1"/>
    <col min="203" max="203" width="19" style="15" customWidth="1" outlineLevel="1"/>
    <col min="204" max="205" width="15.5703125" style="15" customWidth="1" outlineLevel="1"/>
    <col min="206" max="206" width="18.5703125" style="15" customWidth="1" outlineLevel="1"/>
    <col min="207" max="207" width="19.85546875" style="15" customWidth="1" outlineLevel="1"/>
    <col min="208" max="208" width="12.42578125" style="896" customWidth="1" outlineLevel="1"/>
    <col min="209" max="209" width="15.85546875" style="15" customWidth="1" outlineLevel="1"/>
    <col min="210" max="210" width="15.42578125" style="15" customWidth="1" outlineLevel="1"/>
    <col min="211" max="212" width="15.5703125" style="65" customWidth="1" outlineLevel="1"/>
    <col min="213" max="213" width="11" style="65" customWidth="1" outlineLevel="1"/>
    <col min="214" max="214" width="15.28515625" style="65" customWidth="1" outlineLevel="1"/>
    <col min="215" max="215" width="16.5703125" style="65" customWidth="1" outlineLevel="1"/>
    <col min="216" max="216" width="14" style="65" customWidth="1" outlineLevel="1"/>
    <col min="217" max="217" width="14.140625" style="65" customWidth="1" outlineLevel="1"/>
    <col min="218" max="218" width="17.140625" style="65" customWidth="1" outlineLevel="1"/>
    <col min="219" max="219" width="15.5703125" style="15" customWidth="1" outlineLevel="1"/>
    <col min="220" max="220" width="9.5703125" style="15" customWidth="1" outlineLevel="1"/>
    <col min="221" max="221" width="10.5703125" style="15" customWidth="1" outlineLevel="1"/>
    <col min="222" max="222" width="15" style="15" customWidth="1" outlineLevel="1"/>
    <col min="223" max="223" width="18" style="15" customWidth="1" outlineLevel="1"/>
    <col min="224" max="224" width="15.5703125" style="15" customWidth="1" outlineLevel="1"/>
    <col min="225" max="225" width="13.140625" style="15" customWidth="1" outlineLevel="1"/>
    <col min="226" max="228" width="15.5703125" style="15" customWidth="1" outlineLevel="1"/>
    <col min="229" max="229" width="24.7109375" style="15" customWidth="1" outlineLevel="1"/>
    <col min="230" max="230" width="20.140625" style="15" customWidth="1" outlineLevel="1"/>
    <col min="231" max="231" width="28" style="15" customWidth="1" outlineLevel="1"/>
    <col min="232" max="233" width="19.28515625" style="15" customWidth="1"/>
    <col min="234" max="234" width="25.140625" style="15" customWidth="1"/>
    <col min="235" max="236" width="28.7109375" style="15" customWidth="1"/>
    <col min="237" max="237" width="15.140625" style="15" customWidth="1"/>
    <col min="238" max="238" width="13.28515625" style="15" customWidth="1"/>
    <col min="239" max="239" width="17" style="15" customWidth="1"/>
    <col min="240" max="240" width="14.42578125" style="15" customWidth="1"/>
    <col min="241" max="241" width="20.140625" style="15" customWidth="1"/>
    <col min="242" max="247" width="15.85546875" style="15" customWidth="1"/>
    <col min="248" max="248" width="15.5703125" style="15" customWidth="1"/>
    <col min="249" max="249" width="15.28515625" style="15" customWidth="1"/>
    <col min="250" max="250" width="14.7109375" style="15" customWidth="1"/>
    <col min="251" max="251" width="14.85546875" style="15" customWidth="1"/>
    <col min="252" max="252" width="15.42578125" style="15" customWidth="1"/>
    <col min="253" max="253" width="23.85546875" style="15" customWidth="1"/>
    <col min="254" max="256" width="18.85546875" style="15" customWidth="1"/>
    <col min="257" max="257" width="16.140625" style="15" customWidth="1"/>
    <col min="258" max="258" width="15.28515625" style="15" customWidth="1"/>
    <col min="259" max="259" width="18.7109375" style="15" customWidth="1"/>
    <col min="260" max="260" width="13.7109375" style="15" customWidth="1"/>
    <col min="261" max="261" width="21.42578125" style="15" customWidth="1"/>
    <col min="262" max="262" width="15.85546875" style="15" customWidth="1"/>
    <col min="263" max="263" width="18.42578125" style="15" customWidth="1"/>
    <col min="264" max="264" width="20" style="15" customWidth="1"/>
    <col min="265" max="265" width="15.5703125" style="15" customWidth="1"/>
    <col min="266" max="266" width="14.7109375" style="15" customWidth="1"/>
    <col min="267" max="267" width="17.140625" style="15" customWidth="1"/>
    <col min="268" max="16384" width="11.42578125" style="17"/>
  </cols>
  <sheetData>
    <row r="1" spans="1:267" s="690" customFormat="1" ht="97.5" customHeight="1">
      <c r="A1" s="627" t="s">
        <v>0</v>
      </c>
      <c r="B1" s="627" t="s">
        <v>1</v>
      </c>
      <c r="C1" s="627" t="s">
        <v>112</v>
      </c>
      <c r="D1" s="627" t="s">
        <v>75</v>
      </c>
      <c r="E1" s="627" t="s">
        <v>2</v>
      </c>
      <c r="F1" s="628" t="s">
        <v>10</v>
      </c>
      <c r="G1" s="628" t="s">
        <v>350</v>
      </c>
      <c r="H1" s="628" t="s">
        <v>349</v>
      </c>
      <c r="I1" s="628" t="s">
        <v>339</v>
      </c>
      <c r="J1" s="628" t="s">
        <v>340</v>
      </c>
      <c r="K1" s="629" t="s">
        <v>22</v>
      </c>
      <c r="L1" s="630" t="s">
        <v>62</v>
      </c>
      <c r="M1" s="630" t="s">
        <v>13</v>
      </c>
      <c r="N1" s="630" t="s">
        <v>14</v>
      </c>
      <c r="O1" s="629" t="s">
        <v>193</v>
      </c>
      <c r="P1" s="629" t="s">
        <v>218</v>
      </c>
      <c r="Q1" s="629" t="s">
        <v>217</v>
      </c>
      <c r="R1" s="629" t="s">
        <v>276</v>
      </c>
      <c r="S1" s="629" t="s">
        <v>220</v>
      </c>
      <c r="T1" s="629" t="s">
        <v>219</v>
      </c>
      <c r="U1" s="629" t="s">
        <v>209</v>
      </c>
      <c r="V1" s="629" t="s">
        <v>246</v>
      </c>
      <c r="W1" s="629" t="s">
        <v>226</v>
      </c>
      <c r="X1" s="629" t="s">
        <v>195</v>
      </c>
      <c r="Y1" s="629" t="s">
        <v>243</v>
      </c>
      <c r="Z1" s="629" t="s">
        <v>191</v>
      </c>
      <c r="AA1" s="629" t="s">
        <v>117</v>
      </c>
      <c r="AB1" s="629" t="s">
        <v>118</v>
      </c>
      <c r="AC1" s="627" t="s">
        <v>125</v>
      </c>
      <c r="AD1" s="627" t="s">
        <v>3</v>
      </c>
      <c r="AE1" s="627" t="s">
        <v>15</v>
      </c>
      <c r="AF1" s="627" t="s">
        <v>16</v>
      </c>
      <c r="AG1" s="628" t="s">
        <v>480</v>
      </c>
      <c r="AH1" s="628" t="s">
        <v>760</v>
      </c>
      <c r="AI1" s="627" t="s">
        <v>73</v>
      </c>
      <c r="AJ1" s="631" t="s">
        <v>126</v>
      </c>
      <c r="AK1" s="627" t="s">
        <v>119</v>
      </c>
      <c r="AL1" s="628" t="s">
        <v>221</v>
      </c>
      <c r="AM1" s="628" t="s">
        <v>222</v>
      </c>
      <c r="AN1" s="628" t="s">
        <v>223</v>
      </c>
      <c r="AO1" s="628" t="s">
        <v>224</v>
      </c>
      <c r="AP1" s="628" t="s">
        <v>225</v>
      </c>
      <c r="AQ1" s="627" t="s">
        <v>158</v>
      </c>
      <c r="AR1" s="632" t="s">
        <v>194</v>
      </c>
      <c r="AS1" s="633" t="s">
        <v>216</v>
      </c>
      <c r="AT1" s="628" t="s">
        <v>196</v>
      </c>
      <c r="AU1" s="628" t="s">
        <v>624</v>
      </c>
      <c r="AV1" s="627" t="s">
        <v>120</v>
      </c>
      <c r="AW1" s="634" t="s">
        <v>316</v>
      </c>
      <c r="AX1" s="634" t="s">
        <v>317</v>
      </c>
      <c r="AY1" s="635" t="s">
        <v>5</v>
      </c>
      <c r="AZ1" s="635" t="s">
        <v>4</v>
      </c>
      <c r="BA1" s="636" t="s">
        <v>6</v>
      </c>
      <c r="BB1" s="637" t="s">
        <v>7</v>
      </c>
      <c r="BC1" s="638" t="s">
        <v>323</v>
      </c>
      <c r="BD1" s="636" t="s">
        <v>8</v>
      </c>
      <c r="BE1" s="637" t="s">
        <v>925</v>
      </c>
      <c r="BF1" s="638" t="s">
        <v>323</v>
      </c>
      <c r="BG1" s="639" t="s">
        <v>152</v>
      </c>
      <c r="BH1" s="640" t="s">
        <v>174</v>
      </c>
      <c r="BI1" s="641" t="s">
        <v>281</v>
      </c>
      <c r="BJ1" s="641" t="s">
        <v>296</v>
      </c>
      <c r="BK1" s="642" t="s">
        <v>557</v>
      </c>
      <c r="BL1" s="642" t="s">
        <v>558</v>
      </c>
      <c r="BM1" s="642" t="s">
        <v>559</v>
      </c>
      <c r="BN1" s="642" t="s">
        <v>560</v>
      </c>
      <c r="BO1" s="641" t="s">
        <v>266</v>
      </c>
      <c r="BP1" s="639" t="s">
        <v>181</v>
      </c>
      <c r="BQ1" s="641" t="s">
        <v>893</v>
      </c>
      <c r="BR1" s="641" t="s">
        <v>892</v>
      </c>
      <c r="BS1" s="641" t="s">
        <v>891</v>
      </c>
      <c r="BT1" s="641" t="s">
        <v>890</v>
      </c>
      <c r="BU1" s="643" t="s">
        <v>138</v>
      </c>
      <c r="BV1" s="644" t="s">
        <v>267</v>
      </c>
      <c r="BW1" s="645" t="s">
        <v>401</v>
      </c>
      <c r="BX1" s="644" t="s">
        <v>245</v>
      </c>
      <c r="BY1" s="644" t="s">
        <v>328</v>
      </c>
      <c r="BZ1" s="645" t="s">
        <v>619</v>
      </c>
      <c r="CA1" s="645" t="s">
        <v>382</v>
      </c>
      <c r="CB1" s="645" t="s">
        <v>620</v>
      </c>
      <c r="CC1" s="774" t="s">
        <v>913</v>
      </c>
      <c r="CD1" s="646" t="s">
        <v>777</v>
      </c>
      <c r="CE1" s="647" t="s">
        <v>299</v>
      </c>
      <c r="CF1" s="648" t="s">
        <v>763</v>
      </c>
      <c r="CG1" s="648" t="s">
        <v>762</v>
      </c>
      <c r="CH1" s="649" t="s">
        <v>359</v>
      </c>
      <c r="CI1" s="649" t="s">
        <v>910</v>
      </c>
      <c r="CJ1" s="646" t="s">
        <v>358</v>
      </c>
      <c r="CK1" s="646" t="s">
        <v>446</v>
      </c>
      <c r="CL1" s="646" t="s">
        <v>911</v>
      </c>
      <c r="CM1" s="646" t="s">
        <v>912</v>
      </c>
      <c r="CN1" s="646" t="s">
        <v>352</v>
      </c>
      <c r="CO1" s="646" t="s">
        <v>360</v>
      </c>
      <c r="CP1" s="646" t="s">
        <v>353</v>
      </c>
      <c r="CQ1" s="805" t="s">
        <v>914</v>
      </c>
      <c r="CR1" s="803" t="s">
        <v>300</v>
      </c>
      <c r="CS1" s="648" t="s">
        <v>941</v>
      </c>
      <c r="CT1" s="646" t="s">
        <v>319</v>
      </c>
      <c r="CU1" s="646" t="s">
        <v>936</v>
      </c>
      <c r="CV1" s="646" t="s">
        <v>579</v>
      </c>
      <c r="CW1" s="798" t="s">
        <v>930</v>
      </c>
      <c r="CX1" s="803" t="s">
        <v>466</v>
      </c>
      <c r="CY1" s="648" t="s">
        <v>610</v>
      </c>
      <c r="CZ1" s="646" t="s">
        <v>462</v>
      </c>
      <c r="DA1" s="646" t="s">
        <v>347</v>
      </c>
      <c r="DB1" s="646" t="s">
        <v>642</v>
      </c>
      <c r="DC1" s="646" t="s">
        <v>327</v>
      </c>
      <c r="DD1" s="646" t="s">
        <v>335</v>
      </c>
      <c r="DE1" s="646" t="s">
        <v>351</v>
      </c>
      <c r="DF1" s="646" t="s">
        <v>318</v>
      </c>
      <c r="DG1" s="646" t="s">
        <v>301</v>
      </c>
      <c r="DH1" s="650" t="s">
        <v>302</v>
      </c>
      <c r="DI1" s="650" t="s">
        <v>303</v>
      </c>
      <c r="DJ1" s="650" t="s">
        <v>304</v>
      </c>
      <c r="DK1" s="650" t="s">
        <v>305</v>
      </c>
      <c r="DL1" s="650" t="s">
        <v>320</v>
      </c>
      <c r="DM1" s="650" t="s">
        <v>403</v>
      </c>
      <c r="DN1" s="650" t="s">
        <v>708</v>
      </c>
      <c r="DO1" s="651" t="s">
        <v>926</v>
      </c>
      <c r="DP1" s="650" t="s">
        <v>565</v>
      </c>
      <c r="DQ1" s="650" t="s">
        <v>687</v>
      </c>
      <c r="DR1" s="650" t="s">
        <v>331</v>
      </c>
      <c r="DS1" s="650" t="s">
        <v>417</v>
      </c>
      <c r="DT1" s="684" t="s">
        <v>779</v>
      </c>
      <c r="DU1" s="731" t="s">
        <v>790</v>
      </c>
      <c r="DV1" s="732" t="s">
        <v>791</v>
      </c>
      <c r="DW1" s="686" t="s">
        <v>792</v>
      </c>
      <c r="DX1" s="685" t="s">
        <v>780</v>
      </c>
      <c r="DY1" s="732" t="s">
        <v>781</v>
      </c>
      <c r="DZ1" s="684" t="s">
        <v>782</v>
      </c>
      <c r="EA1" s="731" t="s">
        <v>783</v>
      </c>
      <c r="EB1" s="684" t="s">
        <v>784</v>
      </c>
      <c r="EC1" s="684" t="s">
        <v>785</v>
      </c>
      <c r="ED1" s="685" t="s">
        <v>793</v>
      </c>
      <c r="EE1" s="684" t="s">
        <v>794</v>
      </c>
      <c r="EF1" s="684" t="s">
        <v>785</v>
      </c>
      <c r="EG1" s="735" t="s">
        <v>795</v>
      </c>
      <c r="EH1" s="736" t="s">
        <v>796</v>
      </c>
      <c r="EI1" s="684" t="s">
        <v>785</v>
      </c>
      <c r="EJ1" s="732" t="s">
        <v>9</v>
      </c>
      <c r="EK1" s="738" t="s">
        <v>797</v>
      </c>
      <c r="EL1" s="737" t="s">
        <v>798</v>
      </c>
      <c r="EM1" s="687" t="s">
        <v>785</v>
      </c>
      <c r="EN1" s="738" t="s">
        <v>799</v>
      </c>
      <c r="EO1" s="737" t="s">
        <v>800</v>
      </c>
      <c r="EP1" s="687" t="s">
        <v>801</v>
      </c>
      <c r="EQ1" s="738" t="s">
        <v>802</v>
      </c>
      <c r="ER1" s="737" t="s">
        <v>803</v>
      </c>
      <c r="ES1" s="687" t="s">
        <v>785</v>
      </c>
      <c r="ET1" s="738" t="s">
        <v>804</v>
      </c>
      <c r="EU1" s="737" t="s">
        <v>805</v>
      </c>
      <c r="EV1" s="687" t="s">
        <v>785</v>
      </c>
      <c r="EW1" s="738" t="s">
        <v>806</v>
      </c>
      <c r="EX1" s="737" t="s">
        <v>807</v>
      </c>
      <c r="EY1" s="687" t="s">
        <v>785</v>
      </c>
      <c r="EZ1" s="738" t="s">
        <v>808</v>
      </c>
      <c r="FA1" s="737" t="s">
        <v>809</v>
      </c>
      <c r="FB1" s="687" t="s">
        <v>785</v>
      </c>
      <c r="FC1" s="738" t="s">
        <v>810</v>
      </c>
      <c r="FD1" s="737" t="s">
        <v>811</v>
      </c>
      <c r="FE1" s="687" t="s">
        <v>785</v>
      </c>
      <c r="FF1" s="738" t="s">
        <v>812</v>
      </c>
      <c r="FG1" s="737" t="s">
        <v>813</v>
      </c>
      <c r="FH1" s="687" t="s">
        <v>785</v>
      </c>
      <c r="FI1" s="738" t="s">
        <v>814</v>
      </c>
      <c r="FJ1" s="737" t="s">
        <v>815</v>
      </c>
      <c r="FK1" s="687" t="s">
        <v>785</v>
      </c>
      <c r="FL1" s="737" t="s">
        <v>816</v>
      </c>
      <c r="FM1" s="737" t="s">
        <v>817</v>
      </c>
      <c r="FN1" s="737" t="s">
        <v>818</v>
      </c>
      <c r="FO1" s="737" t="s">
        <v>819</v>
      </c>
      <c r="FP1" s="737" t="s">
        <v>820</v>
      </c>
      <c r="FQ1" s="687" t="s">
        <v>821</v>
      </c>
      <c r="FR1" s="737" t="s">
        <v>822</v>
      </c>
      <c r="FS1" s="737" t="s">
        <v>823</v>
      </c>
      <c r="FT1" s="762" t="s">
        <v>824</v>
      </c>
      <c r="FU1" s="762" t="s">
        <v>825</v>
      </c>
      <c r="FV1" s="762" t="s">
        <v>613</v>
      </c>
      <c r="FW1" s="762" t="s">
        <v>909</v>
      </c>
      <c r="FX1" s="688" t="s">
        <v>826</v>
      </c>
      <c r="FY1" s="688" t="s">
        <v>922</v>
      </c>
      <c r="FZ1" s="689" t="s">
        <v>827</v>
      </c>
      <c r="GA1" s="689" t="s">
        <v>443</v>
      </c>
      <c r="GB1" s="689" t="s">
        <v>828</v>
      </c>
      <c r="GC1" s="689" t="s">
        <v>829</v>
      </c>
      <c r="GD1" s="652" t="s">
        <v>130</v>
      </c>
      <c r="GE1" s="821" t="s">
        <v>921</v>
      </c>
      <c r="GF1" s="653" t="s">
        <v>97</v>
      </c>
      <c r="GG1" s="654" t="s">
        <v>190</v>
      </c>
      <c r="GH1" s="655" t="s">
        <v>17</v>
      </c>
      <c r="GI1" s="656" t="s">
        <v>74</v>
      </c>
      <c r="GJ1" s="656" t="s">
        <v>131</v>
      </c>
      <c r="GK1" s="657" t="s">
        <v>98</v>
      </c>
      <c r="GL1" s="658" t="s">
        <v>19</v>
      </c>
      <c r="GM1" s="659" t="s">
        <v>20</v>
      </c>
      <c r="GN1" s="658" t="s">
        <v>21</v>
      </c>
      <c r="GO1" s="660" t="s">
        <v>278</v>
      </c>
      <c r="GP1" s="657" t="s">
        <v>776</v>
      </c>
      <c r="GQ1" s="916" t="s">
        <v>776</v>
      </c>
      <c r="GR1" s="923" t="s">
        <v>942</v>
      </c>
      <c r="GS1" s="919" t="s">
        <v>132</v>
      </c>
      <c r="GT1" s="659" t="s">
        <v>18</v>
      </c>
      <c r="GU1" s="653" t="s">
        <v>99</v>
      </c>
      <c r="GV1" s="654" t="s">
        <v>99</v>
      </c>
      <c r="GW1" s="654" t="s">
        <v>22</v>
      </c>
      <c r="GX1" s="654" t="s">
        <v>23</v>
      </c>
      <c r="GY1" s="655" t="s">
        <v>24</v>
      </c>
      <c r="GZ1" s="887" t="s">
        <v>133</v>
      </c>
      <c r="HA1" s="654" t="s">
        <v>159</v>
      </c>
      <c r="HB1" s="657" t="s">
        <v>100</v>
      </c>
      <c r="HC1" s="658" t="s">
        <v>208</v>
      </c>
      <c r="HD1" s="662" t="s">
        <v>205</v>
      </c>
      <c r="HE1" s="658" t="s">
        <v>171</v>
      </c>
      <c r="HF1" s="653" t="s">
        <v>577</v>
      </c>
      <c r="HG1" s="658" t="s">
        <v>160</v>
      </c>
      <c r="HH1" s="659" t="s">
        <v>25</v>
      </c>
      <c r="HI1" s="661" t="s">
        <v>101</v>
      </c>
      <c r="HJ1" s="663" t="s">
        <v>227</v>
      </c>
      <c r="HK1" s="659" t="s">
        <v>26</v>
      </c>
      <c r="HL1" s="664" t="s">
        <v>187</v>
      </c>
      <c r="HM1" s="664" t="s">
        <v>188</v>
      </c>
      <c r="HN1" s="665" t="s">
        <v>156</v>
      </c>
      <c r="HO1" s="665" t="s">
        <v>123</v>
      </c>
      <c r="HP1" s="661" t="s">
        <v>124</v>
      </c>
      <c r="HQ1" s="665" t="s">
        <v>134</v>
      </c>
      <c r="HR1" s="661" t="s">
        <v>136</v>
      </c>
      <c r="HS1" s="663" t="s">
        <v>189</v>
      </c>
      <c r="HT1" s="665" t="s">
        <v>173</v>
      </c>
      <c r="HU1" s="665" t="s">
        <v>135</v>
      </c>
      <c r="HV1" s="658" t="s">
        <v>141</v>
      </c>
      <c r="HW1" s="658" t="s">
        <v>170</v>
      </c>
      <c r="HX1" s="666" t="s">
        <v>437</v>
      </c>
      <c r="HY1" s="666" t="s">
        <v>474</v>
      </c>
      <c r="HZ1" s="666" t="s">
        <v>438</v>
      </c>
      <c r="IA1" s="667">
        <v>0.1</v>
      </c>
      <c r="IB1" s="666" t="s">
        <v>757</v>
      </c>
      <c r="IC1" s="668">
        <v>0.05</v>
      </c>
      <c r="ID1" s="666" t="s">
        <v>439</v>
      </c>
      <c r="IE1" s="669">
        <v>0.05</v>
      </c>
      <c r="IF1" s="666" t="s">
        <v>440</v>
      </c>
      <c r="IG1" s="670">
        <v>0.1</v>
      </c>
      <c r="IH1" s="666" t="s">
        <v>441</v>
      </c>
      <c r="II1" s="671">
        <v>0.1</v>
      </c>
      <c r="IJ1" s="666" t="s">
        <v>442</v>
      </c>
      <c r="IK1" s="672">
        <v>0.1</v>
      </c>
      <c r="IL1" s="666" t="s">
        <v>786</v>
      </c>
      <c r="IM1" s="673">
        <v>0.05</v>
      </c>
      <c r="IN1" s="666" t="s">
        <v>561</v>
      </c>
      <c r="IO1" s="674">
        <v>0.05</v>
      </c>
      <c r="IP1" s="666" t="s">
        <v>562</v>
      </c>
      <c r="IQ1" s="675">
        <v>0.1</v>
      </c>
      <c r="IR1" s="666" t="s">
        <v>566</v>
      </c>
      <c r="IS1" s="676">
        <v>0.05</v>
      </c>
      <c r="IT1" s="666" t="s">
        <v>567</v>
      </c>
      <c r="IU1" s="677">
        <v>0.05</v>
      </c>
      <c r="IV1" s="666" t="s">
        <v>615</v>
      </c>
      <c r="IW1" s="678">
        <v>0.05</v>
      </c>
      <c r="IX1" s="666" t="s">
        <v>644</v>
      </c>
      <c r="IY1" s="679">
        <v>0.05</v>
      </c>
      <c r="IZ1" s="666" t="s">
        <v>661</v>
      </c>
      <c r="JA1" s="680">
        <v>0.05</v>
      </c>
      <c r="JB1" s="670" t="s">
        <v>787</v>
      </c>
      <c r="JC1" s="681">
        <v>0.03</v>
      </c>
      <c r="JD1" s="670" t="s">
        <v>788</v>
      </c>
      <c r="JE1" s="682">
        <v>0.02</v>
      </c>
      <c r="JF1" s="670" t="s">
        <v>789</v>
      </c>
      <c r="JG1" s="683">
        <v>0.05</v>
      </c>
    </row>
    <row r="2" spans="1:267" ht="24.95" customHeight="1">
      <c r="A2" s="7" t="s">
        <v>154</v>
      </c>
      <c r="B2" s="8" t="s">
        <v>82</v>
      </c>
      <c r="C2" s="8" t="s">
        <v>115</v>
      </c>
      <c r="D2" s="8">
        <v>2010</v>
      </c>
      <c r="E2" s="8" t="s">
        <v>155</v>
      </c>
      <c r="F2" s="8" t="s">
        <v>30</v>
      </c>
      <c r="G2" s="8" t="s">
        <v>461</v>
      </c>
      <c r="H2" s="8" t="s">
        <v>260</v>
      </c>
      <c r="I2" s="56" t="s">
        <v>121</v>
      </c>
      <c r="J2" s="56"/>
      <c r="K2" s="502" t="s">
        <v>754</v>
      </c>
      <c r="L2" s="567"/>
      <c r="M2" s="567"/>
      <c r="N2" s="567"/>
      <c r="O2" s="217">
        <v>9556</v>
      </c>
      <c r="P2" s="217">
        <v>407560.68000000005</v>
      </c>
      <c r="Q2" s="217">
        <v>222180</v>
      </c>
      <c r="R2" s="217">
        <f>P2/AD2</f>
        <v>15094.840000000002</v>
      </c>
      <c r="S2" s="217">
        <f>P2/O2</f>
        <v>42.649715362076186</v>
      </c>
      <c r="T2" s="217">
        <f>Q2/O2</f>
        <v>23.250313938886563</v>
      </c>
      <c r="U2" s="217">
        <f>Q2/AJ2</f>
        <v>100.51347010789659</v>
      </c>
      <c r="V2" s="217">
        <f>Q2/AD2</f>
        <v>8228.8888888888887</v>
      </c>
      <c r="W2" s="217">
        <f>O2/AD2</f>
        <v>353.92592592592592</v>
      </c>
      <c r="X2" s="218"/>
      <c r="Y2" s="219">
        <f>AJ2/O2</f>
        <v>0.23131540393470068</v>
      </c>
      <c r="Z2" s="218" t="s">
        <v>210</v>
      </c>
      <c r="AA2" s="220"/>
      <c r="AB2" s="220"/>
      <c r="AC2" s="8" t="s">
        <v>16</v>
      </c>
      <c r="AD2" s="342">
        <f t="shared" ref="AD2:AD19" si="0">SUM(AE2:AH2)</f>
        <v>27</v>
      </c>
      <c r="AE2" s="570"/>
      <c r="AF2" s="571">
        <v>27</v>
      </c>
      <c r="AG2" s="808"/>
      <c r="AH2" s="808"/>
      <c r="AI2" s="10">
        <v>2110.92</v>
      </c>
      <c r="AJ2" s="85">
        <v>2210.4499999999998</v>
      </c>
      <c r="AK2" s="10">
        <f t="shared" ref="AK2:AK19" si="1">AJ2/AD2</f>
        <v>81.868518518518513</v>
      </c>
      <c r="AL2" s="81"/>
      <c r="AM2" s="81">
        <v>0.22</v>
      </c>
      <c r="AN2" s="81">
        <v>0.3</v>
      </c>
      <c r="AO2" s="81">
        <v>0.3</v>
      </c>
      <c r="AP2" s="81">
        <v>0.19</v>
      </c>
      <c r="AQ2" s="10">
        <v>1400</v>
      </c>
      <c r="AR2" s="79"/>
      <c r="AS2" s="81">
        <f t="shared" ref="AS2:AS7" si="2">AR2/O2</f>
        <v>0</v>
      </c>
      <c r="AT2" s="60">
        <v>3</v>
      </c>
      <c r="AU2" s="59" t="s">
        <v>626</v>
      </c>
      <c r="AV2" s="571" t="s">
        <v>122</v>
      </c>
      <c r="AW2" s="119"/>
      <c r="AX2" s="194">
        <v>40816</v>
      </c>
      <c r="AY2" s="201" t="s">
        <v>172</v>
      </c>
      <c r="AZ2" s="201" t="s">
        <v>172</v>
      </c>
      <c r="BA2" s="575"/>
      <c r="BB2" s="214">
        <v>40491</v>
      </c>
      <c r="BC2" s="101"/>
      <c r="BD2" s="101"/>
      <c r="BE2" s="214"/>
      <c r="BF2" s="101"/>
      <c r="BG2" s="37"/>
      <c r="BH2" s="580"/>
      <c r="BI2" s="115"/>
      <c r="BJ2" s="115"/>
      <c r="BK2" s="198"/>
      <c r="BL2" s="198">
        <f t="shared" ref="BL2:BL19" si="3">DATE(YEAR(BK2),MONTH(BK2)+24,DAY(BK2))</f>
        <v>731</v>
      </c>
      <c r="BM2" s="198">
        <f t="shared" ref="BM2:BM19" si="4">DATE(YEAR(BK2),MONTH(BK2)+36,DAY(BK2))</f>
        <v>1096</v>
      </c>
      <c r="BN2" s="198"/>
      <c r="BO2" s="115"/>
      <c r="BP2" s="37"/>
      <c r="BQ2" s="115"/>
      <c r="BR2" s="105"/>
      <c r="BS2" s="105"/>
      <c r="BT2" s="105"/>
      <c r="BU2" s="809"/>
      <c r="BV2" s="330" t="s">
        <v>172</v>
      </c>
      <c r="BW2" s="517"/>
      <c r="BX2" s="759" t="s">
        <v>172</v>
      </c>
      <c r="BY2" s="760" t="s">
        <v>172</v>
      </c>
      <c r="BZ2" s="517"/>
      <c r="CA2" s="517"/>
      <c r="CB2" s="517" t="s">
        <v>172</v>
      </c>
      <c r="CC2" s="781"/>
      <c r="CD2" s="617"/>
      <c r="CE2" s="449">
        <v>40721</v>
      </c>
      <c r="CF2" s="442">
        <v>2011</v>
      </c>
      <c r="CG2" s="601">
        <f t="shared" ref="CG2:CG27" si="5">(DATEDIF(BB2,CE2,"d"))/30</f>
        <v>7.666666666666667</v>
      </c>
      <c r="CH2" s="133">
        <v>15</v>
      </c>
      <c r="CI2" s="133">
        <f t="shared" ref="CI2:CI19" si="6">CH2+1</f>
        <v>16</v>
      </c>
      <c r="CJ2" s="133">
        <f t="shared" ref="CJ2:CJ19" si="7">DATEDIF(CE2,CR2,"M")</f>
        <v>24</v>
      </c>
      <c r="CK2" s="133">
        <f t="shared" ref="CK2:CK19" si="8">DATEDIF(CE2,CX2,"M")</f>
        <v>24</v>
      </c>
      <c r="CL2" s="133">
        <f t="shared" ref="CL2:CL19" si="9">DATEDIF(CQ2,CR2,"M")</f>
        <v>9</v>
      </c>
      <c r="CM2" s="133">
        <f t="shared" ref="CM2:CM19" si="10">CK2-CI2</f>
        <v>8</v>
      </c>
      <c r="CN2" s="243">
        <v>11101</v>
      </c>
      <c r="CO2" s="243">
        <f t="shared" ref="CO2:CO19" si="11">CN2*(CJ2-CH2)</f>
        <v>99909</v>
      </c>
      <c r="CP2" s="126" t="s">
        <v>129</v>
      </c>
      <c r="CQ2" s="793">
        <f t="shared" ref="CQ2:CQ19" si="12">DATE(YEAR(CE2),MONTH(CE2)+CH2,DAY(CE2))</f>
        <v>41179</v>
      </c>
      <c r="CR2" s="453">
        <v>41464</v>
      </c>
      <c r="CS2" s="794"/>
      <c r="CT2" s="118">
        <v>41606</v>
      </c>
      <c r="CU2" s="875">
        <f>(DATEDIF(BB2,CT2,"d"))/30/12</f>
        <v>3.0972222222222219</v>
      </c>
      <c r="CV2" s="118"/>
      <c r="CW2" s="772">
        <v>41481</v>
      </c>
      <c r="CX2" s="453">
        <v>41481</v>
      </c>
      <c r="CY2" s="621">
        <v>2013</v>
      </c>
      <c r="CZ2" s="134"/>
      <c r="DA2" s="126"/>
      <c r="DB2" s="126"/>
      <c r="DC2" s="126"/>
      <c r="DD2" s="126"/>
      <c r="DE2" s="126"/>
      <c r="DF2" s="119"/>
      <c r="DG2" s="118">
        <f t="shared" ref="DG2:DG11" si="13">DATE(YEAR(CR2)+1,MONTH(CR2),DAY(CR2))</f>
        <v>41829</v>
      </c>
      <c r="DH2" s="118" t="s">
        <v>129</v>
      </c>
      <c r="DI2" s="118"/>
      <c r="DJ2" s="118">
        <v>41926</v>
      </c>
      <c r="DK2" s="118" t="s">
        <v>306</v>
      </c>
      <c r="DL2" s="118" t="s">
        <v>172</v>
      </c>
      <c r="DM2" s="118"/>
      <c r="DN2" s="118" t="s">
        <v>172</v>
      </c>
      <c r="DO2" s="118"/>
      <c r="DP2" s="118"/>
      <c r="DQ2" s="118"/>
      <c r="DR2" s="204">
        <v>42114</v>
      </c>
      <c r="DS2" s="204">
        <v>42424</v>
      </c>
      <c r="DT2" s="126"/>
      <c r="DU2" s="119"/>
      <c r="DV2" s="119"/>
      <c r="DW2" s="691" t="str">
        <f t="shared" ref="DW2:DW19" si="14">IF(AND(DU2&gt;0,DV2&gt;0),DV2-DU2,"0")</f>
        <v>0</v>
      </c>
      <c r="DX2" s="126"/>
      <c r="DY2" s="126"/>
      <c r="DZ2" s="691" t="str">
        <f t="shared" ref="DZ2:DZ19" si="15">IF(AND(DX2&gt;0,DY2&gt;0),DY2-DX2,"0")</f>
        <v>0</v>
      </c>
      <c r="EA2" s="133"/>
      <c r="EB2" s="126"/>
      <c r="EC2" s="691" t="str">
        <f t="shared" ref="EC2:EC19" si="16">IF(AND(EA2&gt;0,EB2&gt;0),EB2-EA2,"0")</f>
        <v>0</v>
      </c>
      <c r="ED2" s="133"/>
      <c r="EE2" s="126"/>
      <c r="EF2" s="691" t="str">
        <f t="shared" ref="EF2:EF19" si="17">IF(AND(ED2&gt;0,EE2&gt;0),EE2-ED2,"0")</f>
        <v>0</v>
      </c>
      <c r="EG2" s="133"/>
      <c r="EH2" s="745"/>
      <c r="EI2" s="691" t="str">
        <f t="shared" ref="EI2:EI19" si="18">IF(AND(EG2&gt;0,EH2&gt;0),EH2-EG2,"0")</f>
        <v>0</v>
      </c>
      <c r="EJ2" s="243"/>
      <c r="EK2" s="701"/>
      <c r="EL2" s="696"/>
      <c r="EM2" s="697" t="str">
        <f t="shared" ref="EM2:EM19" si="19">IF(AND(EK2&gt;0,EL2&gt;0),EL2-EK2,"0")</f>
        <v>0</v>
      </c>
      <c r="EN2" s="701"/>
      <c r="EO2" s="696"/>
      <c r="EP2" s="697" t="str">
        <f t="shared" ref="EP2:EP19" si="20">IF(AND(EN2&gt;0,EO2&gt;0),EO2-EN2,"0")</f>
        <v>0</v>
      </c>
      <c r="EQ2" s="701"/>
      <c r="ER2" s="696"/>
      <c r="ES2" s="697" t="str">
        <f t="shared" ref="ES2:ES19" si="21">IF(AND(EQ2&gt;0,ER2&gt;0),ER2-EQ2,"0")</f>
        <v>0</v>
      </c>
      <c r="ET2" s="704"/>
      <c r="EU2" s="722"/>
      <c r="EV2" s="698" t="str">
        <f t="shared" ref="EV2:EV19" si="22">IF(AND(ET2&gt;0,EU2&gt;0),EU2-ET2,"0")</f>
        <v>0</v>
      </c>
      <c r="EW2" s="699"/>
      <c r="EX2" s="700"/>
      <c r="EY2" s="697" t="str">
        <f t="shared" ref="EY2:EY19" si="23">IF(AND(EW2&gt;0,EX2&gt;0),EX2-EW2,"0")</f>
        <v>0</v>
      </c>
      <c r="EZ2" s="696"/>
      <c r="FA2" s="701"/>
      <c r="FB2" s="697" t="str">
        <f t="shared" ref="FB2:FB19" si="24">IF(AND(EZ2&gt;0,FA2&gt;0),FA2-EZ2,"0")</f>
        <v>0</v>
      </c>
      <c r="FC2" s="705"/>
      <c r="FD2" s="705"/>
      <c r="FE2" s="697" t="str">
        <f t="shared" ref="FE2:FE19" si="25">IF(AND(FC2&gt;0,FD2&gt;0),FD2-FC2,"0")</f>
        <v>0</v>
      </c>
      <c r="FF2" s="705"/>
      <c r="FG2" s="701"/>
      <c r="FH2" s="697" t="str">
        <f t="shared" ref="FH2:FH19" si="26">IF(AND(FF2&gt;0,FG2&gt;0),FG2-FF2,"0")</f>
        <v>0</v>
      </c>
      <c r="FI2" s="703"/>
      <c r="FJ2" s="703"/>
      <c r="FK2" s="697" t="str">
        <f t="shared" ref="FK2:FK19" si="27">IF(AND(FI2&gt;0,FJ2&gt;0),FJ2-FI2,"0")</f>
        <v>0</v>
      </c>
      <c r="FL2" s="703"/>
      <c r="FM2" s="703"/>
      <c r="FN2" s="703"/>
      <c r="FO2" s="703"/>
      <c r="FP2" s="701"/>
      <c r="FQ2" s="699">
        <f t="shared" ref="FQ2:FQ19" si="28">(DATEDIF(EO2,FO2,"d"))/30</f>
        <v>0</v>
      </c>
      <c r="FR2" s="703"/>
      <c r="FS2" s="701">
        <f>CX2</f>
        <v>41481</v>
      </c>
      <c r="FT2" s="723"/>
      <c r="FU2" s="723"/>
      <c r="FV2" s="727"/>
      <c r="FW2" s="727"/>
      <c r="FX2" s="728">
        <f t="shared" ref="FX2:FX19" si="29">(DW2+DZ2+EC2+EF2+EI2+EM2+EP2)/30</f>
        <v>0</v>
      </c>
      <c r="FY2" s="728">
        <f t="shared" ref="FY2:FY19" si="30">(FS2-FR2)/30</f>
        <v>1382.7</v>
      </c>
      <c r="FZ2" s="724"/>
      <c r="GA2" s="741" t="s">
        <v>872</v>
      </c>
      <c r="GB2" s="724"/>
      <c r="GC2" s="724"/>
      <c r="GD2" s="583"/>
      <c r="GE2" s="514"/>
      <c r="GF2" s="11">
        <v>3574937</v>
      </c>
      <c r="GG2" s="584">
        <f>GQ2+GV2+HC2+HV2+HA2+HG2</f>
        <v>3574937</v>
      </c>
      <c r="GH2" s="13">
        <f t="shared" ref="GH2:GH19" si="31">GG2-GF2</f>
        <v>0</v>
      </c>
      <c r="GI2" s="52">
        <f t="shared" ref="GI2" si="32">GG2/AI2</f>
        <v>1693.5445208724157</v>
      </c>
      <c r="GJ2" s="52">
        <f t="shared" ref="GJ2" si="33">GG2/AD2</f>
        <v>132405.07407407407</v>
      </c>
      <c r="GK2" s="609"/>
      <c r="GL2" s="12">
        <v>0</v>
      </c>
      <c r="GM2" s="13">
        <f t="shared" ref="GM2:GM19" si="34">GL2-GK2</f>
        <v>0</v>
      </c>
      <c r="GN2" s="135">
        <f t="shared" ref="GN2:GN19" si="35">GK2*1.021/GF2</f>
        <v>0</v>
      </c>
      <c r="GO2" s="136"/>
      <c r="GP2" s="586">
        <v>0</v>
      </c>
      <c r="GQ2" s="16">
        <v>0</v>
      </c>
      <c r="GR2" s="922"/>
      <c r="GS2" s="22">
        <f t="shared" ref="GS2:GS27" si="36">GQ2/AD2</f>
        <v>0</v>
      </c>
      <c r="GT2" s="38">
        <f t="shared" ref="GT2:GT19" si="37">GQ2-GP2</f>
        <v>0</v>
      </c>
      <c r="GU2" s="11">
        <v>2306000</v>
      </c>
      <c r="GV2" s="12">
        <f t="shared" ref="GV2:GV19" si="38">+GW2+GX2</f>
        <v>2306000</v>
      </c>
      <c r="GW2" s="14">
        <v>511146</v>
      </c>
      <c r="GX2" s="14">
        <v>1794854</v>
      </c>
      <c r="GY2" s="38">
        <f t="shared" ref="GY2:GY19" si="39">GV2-GU2</f>
        <v>0</v>
      </c>
      <c r="GZ2" s="888">
        <f>GV2/AD2</f>
        <v>85407.407407407401</v>
      </c>
      <c r="HA2" s="12"/>
      <c r="HB2" s="586">
        <f>HC2+HD2</f>
        <v>1362028</v>
      </c>
      <c r="HC2" s="16">
        <v>1267528</v>
      </c>
      <c r="HD2" s="69">
        <v>94500</v>
      </c>
      <c r="HE2" s="41">
        <f t="shared" ref="HE2:HE65" si="40">HC2/GG2</f>
        <v>0.35455953489530023</v>
      </c>
      <c r="HF2" s="326"/>
      <c r="HG2" s="16"/>
      <c r="HH2" s="23">
        <f>HC2-HB2+HD2</f>
        <v>0</v>
      </c>
      <c r="HI2" s="22">
        <f t="shared" ref="HI2:HI65" si="41">HC2/AD2</f>
        <v>46945.481481481482</v>
      </c>
      <c r="HJ2" s="52">
        <f t="shared" ref="HJ2:HJ23" si="42">(GQ2+HC2)/AD2</f>
        <v>46945.481481481482</v>
      </c>
      <c r="HK2" s="23">
        <f t="shared" ref="HK2:HK27" si="43">HH2/AD2</f>
        <v>0</v>
      </c>
      <c r="HL2" s="51"/>
      <c r="HM2" s="51"/>
      <c r="HN2" s="40">
        <v>1734704.6581725003</v>
      </c>
      <c r="HO2" s="40">
        <v>660000</v>
      </c>
      <c r="HP2" s="22">
        <f t="shared" ref="HP2:HP27" si="44">(GQ2+HC2+HO2)/AD2</f>
        <v>71389.925925925927</v>
      </c>
      <c r="HQ2" s="40">
        <v>767026.95965000009</v>
      </c>
      <c r="HR2" s="22">
        <f t="shared" ref="HR2:HR27" si="45">(GQ2+HC2+HO2+HQ2)/AD2</f>
        <v>99798.331838888887</v>
      </c>
      <c r="HS2" s="53">
        <f t="shared" ref="HS2:HS19" si="46">(GQ2+HC2+HO2+HQ2)/(HN2+GG2-HT2)</f>
        <v>0.52964624417787332</v>
      </c>
      <c r="HT2" s="40">
        <v>222180</v>
      </c>
      <c r="HU2" s="40"/>
      <c r="HV2" s="12">
        <v>1409</v>
      </c>
      <c r="HW2" s="42">
        <f t="shared" ref="HW2:HW19" si="47">GG2+HN2</f>
        <v>5309641.6581725003</v>
      </c>
      <c r="HX2" s="243"/>
      <c r="HY2" s="243">
        <f t="shared" ref="HY2:HY19" si="48">IA2+IC2+IE2+IG2+II2+IK2+IM2+IO2+IQ2+IS2+IU2+IW2+IY2+JA2+JC2+JE2+JG2</f>
        <v>0</v>
      </c>
      <c r="HZ2" s="118"/>
      <c r="IA2" s="243"/>
      <c r="IB2" s="243"/>
      <c r="IC2" s="118"/>
      <c r="ID2" s="118"/>
      <c r="IE2" s="243"/>
      <c r="IF2" s="118"/>
      <c r="IG2" s="243"/>
      <c r="IH2" s="118"/>
      <c r="II2" s="243"/>
      <c r="IJ2" s="119"/>
      <c r="IK2" s="403"/>
      <c r="IL2" s="338"/>
      <c r="IM2" s="338"/>
      <c r="IN2" s="126"/>
      <c r="IO2" s="243"/>
      <c r="IP2" s="126"/>
      <c r="IQ2" s="243"/>
      <c r="IR2" s="404"/>
      <c r="IS2" s="404"/>
      <c r="IT2" s="404"/>
      <c r="IU2" s="404"/>
      <c r="IV2" s="126"/>
      <c r="IW2" s="243"/>
      <c r="IX2" s="286"/>
      <c r="IY2" s="286"/>
      <c r="IZ2" s="286"/>
      <c r="JA2" s="286"/>
      <c r="JB2" s="243"/>
      <c r="JC2" s="126"/>
      <c r="JD2" s="119"/>
      <c r="JE2" s="126"/>
      <c r="JF2" s="126"/>
      <c r="JG2" s="119"/>
    </row>
    <row r="3" spans="1:267" ht="54.75" customHeight="1">
      <c r="A3" s="7" t="s">
        <v>313</v>
      </c>
      <c r="B3" s="8" t="s">
        <v>103</v>
      </c>
      <c r="C3" s="8" t="s">
        <v>115</v>
      </c>
      <c r="D3" s="8">
        <v>2011</v>
      </c>
      <c r="E3" s="8" t="s">
        <v>106</v>
      </c>
      <c r="F3" s="56" t="s">
        <v>109</v>
      </c>
      <c r="G3" s="8"/>
      <c r="H3" s="56" t="s">
        <v>260</v>
      </c>
      <c r="I3" s="56"/>
      <c r="J3" s="56"/>
      <c r="K3" s="272"/>
      <c r="L3" s="327"/>
      <c r="M3" s="327"/>
      <c r="N3" s="327"/>
      <c r="O3" s="217">
        <v>4531</v>
      </c>
      <c r="P3" s="217">
        <f>Q3</f>
        <v>799078</v>
      </c>
      <c r="Q3" s="217">
        <v>799078</v>
      </c>
      <c r="R3" s="217">
        <f>P3/AD3</f>
        <v>34742.521739130432</v>
      </c>
      <c r="S3" s="217">
        <f>P3/O3</f>
        <v>176.35797837122047</v>
      </c>
      <c r="T3" s="217">
        <f>Q3/O3</f>
        <v>176.35797837122047</v>
      </c>
      <c r="U3" s="217">
        <f>Q3/AJ3</f>
        <v>416.95086825847386</v>
      </c>
      <c r="V3" s="217">
        <f>Q3/AD3</f>
        <v>34742.521739130432</v>
      </c>
      <c r="W3" s="217">
        <f>O3/AD3</f>
        <v>197</v>
      </c>
      <c r="X3" s="218"/>
      <c r="Y3" s="219">
        <f>AJ3/O3</f>
        <v>0.42297064665636724</v>
      </c>
      <c r="Z3" s="218" t="s">
        <v>214</v>
      </c>
      <c r="AA3" s="218"/>
      <c r="AB3" s="218"/>
      <c r="AC3" s="56" t="s">
        <v>15</v>
      </c>
      <c r="AD3" s="342">
        <f t="shared" si="0"/>
        <v>23</v>
      </c>
      <c r="AE3" s="56">
        <v>23</v>
      </c>
      <c r="AF3" s="510"/>
      <c r="AG3" s="510"/>
      <c r="AH3" s="510"/>
      <c r="AI3" s="60">
        <v>1916.48</v>
      </c>
      <c r="AJ3" s="511">
        <v>1916.48</v>
      </c>
      <c r="AK3" s="60">
        <f t="shared" si="1"/>
        <v>83.325217391304349</v>
      </c>
      <c r="AL3" s="60"/>
      <c r="AM3" s="60"/>
      <c r="AN3" s="60"/>
      <c r="AO3" s="60"/>
      <c r="AP3" s="60"/>
      <c r="AQ3" s="60"/>
      <c r="AR3" s="79"/>
      <c r="AS3" s="81">
        <f t="shared" si="2"/>
        <v>0</v>
      </c>
      <c r="AT3" s="60">
        <v>2.5</v>
      </c>
      <c r="AU3" s="59" t="s">
        <v>626</v>
      </c>
      <c r="AV3" s="59" t="s">
        <v>122</v>
      </c>
      <c r="AW3" s="56"/>
      <c r="AX3" s="194">
        <v>40816</v>
      </c>
      <c r="AY3" s="201" t="s">
        <v>12</v>
      </c>
      <c r="AZ3" s="201" t="s">
        <v>228</v>
      </c>
      <c r="BA3" s="512"/>
      <c r="BB3" s="214">
        <v>40730</v>
      </c>
      <c r="BC3" s="101"/>
      <c r="BD3" s="101"/>
      <c r="BE3" s="214"/>
      <c r="BF3" s="101"/>
      <c r="BG3" s="115"/>
      <c r="BH3" s="313"/>
      <c r="BI3" s="115"/>
      <c r="BJ3" s="115"/>
      <c r="BK3" s="198"/>
      <c r="BL3" s="198">
        <f t="shared" si="3"/>
        <v>731</v>
      </c>
      <c r="BM3" s="198">
        <f t="shared" si="4"/>
        <v>1096</v>
      </c>
      <c r="BN3" s="198"/>
      <c r="BO3" s="115"/>
      <c r="BP3" s="115"/>
      <c r="BQ3" s="115"/>
      <c r="BR3" s="105"/>
      <c r="BS3" s="105"/>
      <c r="BT3" s="105"/>
      <c r="BU3" s="165" t="s">
        <v>139</v>
      </c>
      <c r="BV3" s="330">
        <v>41264</v>
      </c>
      <c r="BW3" s="517"/>
      <c r="BX3" s="845">
        <v>3694417.2380019594</v>
      </c>
      <c r="BY3" s="172" t="s">
        <v>172</v>
      </c>
      <c r="BZ3" s="266"/>
      <c r="CA3" s="441">
        <v>40984</v>
      </c>
      <c r="CB3" s="266">
        <v>41364</v>
      </c>
      <c r="CC3" s="780">
        <f>(CX3-CB3)/30</f>
        <v>4.0666666666666664</v>
      </c>
      <c r="CD3" s="617"/>
      <c r="CE3" s="449">
        <v>40898</v>
      </c>
      <c r="CF3" s="442">
        <v>2011</v>
      </c>
      <c r="CG3" s="601">
        <f t="shared" si="5"/>
        <v>5.6</v>
      </c>
      <c r="CH3" s="133">
        <v>16</v>
      </c>
      <c r="CI3" s="133">
        <f t="shared" si="6"/>
        <v>17</v>
      </c>
      <c r="CJ3" s="133">
        <f t="shared" si="7"/>
        <v>18</v>
      </c>
      <c r="CK3" s="133">
        <f t="shared" si="8"/>
        <v>19</v>
      </c>
      <c r="CL3" s="133">
        <f t="shared" si="9"/>
        <v>2</v>
      </c>
      <c r="CM3" s="133">
        <f t="shared" si="10"/>
        <v>2</v>
      </c>
      <c r="CN3" s="243">
        <v>12116</v>
      </c>
      <c r="CO3" s="243">
        <f t="shared" si="11"/>
        <v>24232</v>
      </c>
      <c r="CP3" s="126" t="s">
        <v>129</v>
      </c>
      <c r="CQ3" s="793">
        <f t="shared" si="12"/>
        <v>41385</v>
      </c>
      <c r="CR3" s="453">
        <v>41473</v>
      </c>
      <c r="CS3" s="794"/>
      <c r="CT3" s="118">
        <v>41470</v>
      </c>
      <c r="CU3" s="875">
        <f t="shared" ref="CU3:CU27" si="49">(DATEDIF(BB3,CT3,"d"))/30/12</f>
        <v>2.0555555555555558</v>
      </c>
      <c r="CV3" s="118"/>
      <c r="CW3" s="786">
        <v>41486</v>
      </c>
      <c r="CX3" s="453">
        <v>41486</v>
      </c>
      <c r="CY3" s="621">
        <v>2013</v>
      </c>
      <c r="CZ3" s="134"/>
      <c r="DA3" s="126"/>
      <c r="DB3" s="126"/>
      <c r="DC3" s="126"/>
      <c r="DD3" s="126"/>
      <c r="DE3" s="126"/>
      <c r="DF3" s="119"/>
      <c r="DG3" s="126">
        <f t="shared" si="13"/>
        <v>41838</v>
      </c>
      <c r="DH3" s="126" t="s">
        <v>129</v>
      </c>
      <c r="DI3" s="126"/>
      <c r="DJ3" s="126"/>
      <c r="DK3" s="191" t="s">
        <v>307</v>
      </c>
      <c r="DL3" s="191" t="s">
        <v>129</v>
      </c>
      <c r="DM3" s="191"/>
      <c r="DN3" s="118">
        <v>42664</v>
      </c>
      <c r="DO3" s="118"/>
      <c r="DP3" s="204"/>
      <c r="DQ3" s="204"/>
      <c r="DR3" s="204" t="s">
        <v>129</v>
      </c>
      <c r="DS3" s="204" t="s">
        <v>129</v>
      </c>
      <c r="DT3" s="126"/>
      <c r="DU3" s="126"/>
      <c r="DV3" s="126"/>
      <c r="DW3" s="691" t="str">
        <f t="shared" si="14"/>
        <v>0</v>
      </c>
      <c r="DX3" s="126"/>
      <c r="DY3" s="126"/>
      <c r="DZ3" s="691" t="str">
        <f t="shared" si="15"/>
        <v>0</v>
      </c>
      <c r="EA3" s="126"/>
      <c r="EB3" s="126"/>
      <c r="EC3" s="691" t="str">
        <f t="shared" si="16"/>
        <v>0</v>
      </c>
      <c r="ED3" s="126"/>
      <c r="EE3" s="126"/>
      <c r="EF3" s="691" t="str">
        <f t="shared" si="17"/>
        <v>0</v>
      </c>
      <c r="EG3" s="133"/>
      <c r="EH3" s="745"/>
      <c r="EI3" s="691" t="str">
        <f t="shared" si="18"/>
        <v>0</v>
      </c>
      <c r="EJ3" s="243"/>
      <c r="EK3" s="701"/>
      <c r="EL3" s="696"/>
      <c r="EM3" s="697" t="str">
        <f t="shared" si="19"/>
        <v>0</v>
      </c>
      <c r="EN3" s="701"/>
      <c r="EO3" s="696"/>
      <c r="EP3" s="697" t="str">
        <f t="shared" si="20"/>
        <v>0</v>
      </c>
      <c r="EQ3" s="701"/>
      <c r="ER3" s="696"/>
      <c r="ES3" s="697" t="str">
        <f t="shared" si="21"/>
        <v>0</v>
      </c>
      <c r="ET3" s="704"/>
      <c r="EU3" s="722"/>
      <c r="EV3" s="698" t="str">
        <f t="shared" si="22"/>
        <v>0</v>
      </c>
      <c r="EW3" s="699"/>
      <c r="EX3" s="700"/>
      <c r="EY3" s="697" t="str">
        <f t="shared" si="23"/>
        <v>0</v>
      </c>
      <c r="EZ3" s="701"/>
      <c r="FA3" s="701"/>
      <c r="FB3" s="697" t="str">
        <f t="shared" si="24"/>
        <v>0</v>
      </c>
      <c r="FC3" s="701"/>
      <c r="FD3" s="701"/>
      <c r="FE3" s="697" t="str">
        <f t="shared" si="25"/>
        <v>0</v>
      </c>
      <c r="FF3" s="701"/>
      <c r="FG3" s="701"/>
      <c r="FH3" s="697" t="str">
        <f t="shared" si="26"/>
        <v>0</v>
      </c>
      <c r="FI3" s="701"/>
      <c r="FJ3" s="701"/>
      <c r="FK3" s="697" t="str">
        <f t="shared" si="27"/>
        <v>0</v>
      </c>
      <c r="FL3" s="701"/>
      <c r="FM3" s="701"/>
      <c r="FN3" s="701"/>
      <c r="FO3" s="701"/>
      <c r="FP3" s="701"/>
      <c r="FQ3" s="699">
        <f t="shared" si="28"/>
        <v>0</v>
      </c>
      <c r="FR3" s="701"/>
      <c r="FS3" s="701">
        <f>CX3</f>
        <v>41486</v>
      </c>
      <c r="FT3" s="723"/>
      <c r="FU3" s="723"/>
      <c r="FV3" s="727"/>
      <c r="FW3" s="727"/>
      <c r="FX3" s="728">
        <f t="shared" si="29"/>
        <v>0</v>
      </c>
      <c r="FY3" s="728">
        <f t="shared" si="30"/>
        <v>1382.8666666666666</v>
      </c>
      <c r="FZ3" s="724"/>
      <c r="GA3" s="741"/>
      <c r="GB3" s="724"/>
      <c r="GC3" s="724"/>
      <c r="GD3" s="514"/>
      <c r="GE3" s="514"/>
      <c r="GF3" s="11">
        <v>4024614</v>
      </c>
      <c r="GG3" s="584">
        <f>GQ3+GV3+HC3+HV3+HA3+HG3</f>
        <v>4024614</v>
      </c>
      <c r="GH3" s="96">
        <f t="shared" si="31"/>
        <v>0</v>
      </c>
      <c r="GI3" s="52">
        <f t="shared" ref="GI3:GI27" si="50">GG3/AI3</f>
        <v>2100.0031307396894</v>
      </c>
      <c r="GJ3" s="52">
        <f t="shared" ref="GJ3:GJ27" si="51">GG3/AD3</f>
        <v>174983.21739130435</v>
      </c>
      <c r="GK3" s="95">
        <v>3671820</v>
      </c>
      <c r="GL3" s="70"/>
      <c r="GM3" s="96">
        <f t="shared" si="34"/>
        <v>-3671820</v>
      </c>
      <c r="GN3" s="136">
        <f t="shared" si="35"/>
        <v>0.93150006932341833</v>
      </c>
      <c r="GO3" s="136"/>
      <c r="GP3" s="95">
        <v>1191366</v>
      </c>
      <c r="GQ3" s="16">
        <v>1191366</v>
      </c>
      <c r="GR3" s="69"/>
      <c r="GS3" s="52">
        <f t="shared" si="36"/>
        <v>51798.521739130432</v>
      </c>
      <c r="GT3" s="97">
        <f t="shared" si="37"/>
        <v>0</v>
      </c>
      <c r="GU3" s="95">
        <v>2593661</v>
      </c>
      <c r="GV3" s="70">
        <f t="shared" si="38"/>
        <v>2593661</v>
      </c>
      <c r="GW3" s="89">
        <v>592565</v>
      </c>
      <c r="GX3" s="89">
        <v>2001096</v>
      </c>
      <c r="GY3" s="97">
        <f t="shared" si="39"/>
        <v>0</v>
      </c>
      <c r="GZ3" s="889">
        <f t="shared" ref="GZ3:GZ27" si="52">GV3/AD3</f>
        <v>112767.86956521739</v>
      </c>
      <c r="HA3" s="70">
        <v>0</v>
      </c>
      <c r="HB3" s="515">
        <v>239587</v>
      </c>
      <c r="HC3" s="69">
        <v>239587</v>
      </c>
      <c r="HD3" s="69"/>
      <c r="HE3" s="90">
        <f t="shared" si="40"/>
        <v>5.9530429502059078E-2</v>
      </c>
      <c r="HF3" s="326"/>
      <c r="HG3" s="69">
        <v>0</v>
      </c>
      <c r="HH3" s="91">
        <f t="shared" ref="HH3:HH11" si="53">HC3-HB3</f>
        <v>0</v>
      </c>
      <c r="HI3" s="52">
        <f t="shared" si="41"/>
        <v>10416.826086956522</v>
      </c>
      <c r="HJ3" s="52">
        <f t="shared" si="42"/>
        <v>62215.34782608696</v>
      </c>
      <c r="HK3" s="91">
        <f t="shared" si="43"/>
        <v>0</v>
      </c>
      <c r="HL3" s="51"/>
      <c r="HM3" s="51"/>
      <c r="HN3" s="93">
        <v>0</v>
      </c>
      <c r="HO3" s="93">
        <v>0</v>
      </c>
      <c r="HP3" s="52">
        <f t="shared" si="44"/>
        <v>62215.34782608696</v>
      </c>
      <c r="HQ3" s="93">
        <v>0</v>
      </c>
      <c r="HR3" s="52">
        <f t="shared" si="45"/>
        <v>62215.34782608696</v>
      </c>
      <c r="HS3" s="53">
        <f t="shared" si="46"/>
        <v>0.3555503707933233</v>
      </c>
      <c r="HT3" s="93"/>
      <c r="HU3" s="93"/>
      <c r="HV3" s="70">
        <v>0</v>
      </c>
      <c r="HW3" s="98">
        <f t="shared" si="47"/>
        <v>4024614</v>
      </c>
      <c r="HX3" s="243"/>
      <c r="HY3" s="243">
        <f t="shared" si="48"/>
        <v>0</v>
      </c>
      <c r="HZ3" s="118"/>
      <c r="IA3" s="243"/>
      <c r="IB3" s="243"/>
      <c r="IC3" s="118"/>
      <c r="ID3" s="118"/>
      <c r="IE3" s="243"/>
      <c r="IF3" s="118"/>
      <c r="IG3" s="243"/>
      <c r="IH3" s="118"/>
      <c r="II3" s="243"/>
      <c r="IJ3" s="119"/>
      <c r="IK3" s="403"/>
      <c r="IL3" s="338"/>
      <c r="IM3" s="338"/>
      <c r="IN3" s="126"/>
      <c r="IO3" s="243"/>
      <c r="IP3" s="126"/>
      <c r="IQ3" s="243"/>
      <c r="IR3" s="404"/>
      <c r="IS3" s="404"/>
      <c r="IT3" s="404"/>
      <c r="IU3" s="404"/>
      <c r="IV3" s="286"/>
      <c r="IW3" s="286"/>
      <c r="IX3" s="286"/>
      <c r="IY3" s="286"/>
      <c r="IZ3" s="286"/>
      <c r="JA3" s="286"/>
      <c r="JB3" s="243"/>
      <c r="JC3" s="126"/>
      <c r="JD3" s="119"/>
      <c r="JE3" s="126"/>
      <c r="JF3" s="126"/>
      <c r="JG3" s="119"/>
    </row>
    <row r="4" spans="1:267" ht="24.95" customHeight="1">
      <c r="A4" s="7" t="s">
        <v>314</v>
      </c>
      <c r="B4" s="8" t="s">
        <v>35</v>
      </c>
      <c r="C4" s="8" t="s">
        <v>113</v>
      </c>
      <c r="D4" s="8">
        <v>2011</v>
      </c>
      <c r="E4" s="8" t="s">
        <v>104</v>
      </c>
      <c r="F4" s="8" t="s">
        <v>37</v>
      </c>
      <c r="G4" s="8" t="s">
        <v>183</v>
      </c>
      <c r="H4" s="56" t="s">
        <v>260</v>
      </c>
      <c r="I4" s="56"/>
      <c r="J4" s="56"/>
      <c r="K4" s="272"/>
      <c r="L4" s="567"/>
      <c r="M4" s="567"/>
      <c r="N4" s="567"/>
      <c r="O4" s="217">
        <v>3280</v>
      </c>
      <c r="P4" s="217">
        <f>Q4</f>
        <v>700000</v>
      </c>
      <c r="Q4" s="217">
        <v>700000</v>
      </c>
      <c r="R4" s="217">
        <f>P4/AD4</f>
        <v>35000</v>
      </c>
      <c r="S4" s="217">
        <f>P4/O4</f>
        <v>213.41463414634146</v>
      </c>
      <c r="T4" s="217">
        <f>Q4/O4</f>
        <v>213.41463414634146</v>
      </c>
      <c r="U4" s="217">
        <f>Q4/AJ4</f>
        <v>409.99209300963486</v>
      </c>
      <c r="V4" s="217">
        <f>Q4/AD4</f>
        <v>35000</v>
      </c>
      <c r="W4" s="217">
        <f>O4/AD4</f>
        <v>164</v>
      </c>
      <c r="X4" s="218"/>
      <c r="Y4" s="219">
        <f>AJ4/O4</f>
        <v>0.52053353658536583</v>
      </c>
      <c r="Z4" s="218" t="s">
        <v>210</v>
      </c>
      <c r="AA4" s="220"/>
      <c r="AB4" s="220"/>
      <c r="AC4" s="8" t="s">
        <v>15</v>
      </c>
      <c r="AD4" s="342">
        <f t="shared" si="0"/>
        <v>20</v>
      </c>
      <c r="AE4" s="8">
        <v>20</v>
      </c>
      <c r="AF4" s="570"/>
      <c r="AG4" s="510"/>
      <c r="AH4" s="510"/>
      <c r="AI4" s="10">
        <v>1707.35</v>
      </c>
      <c r="AJ4" s="85">
        <v>1707.35</v>
      </c>
      <c r="AK4" s="10">
        <f t="shared" si="1"/>
        <v>85.367499999999993</v>
      </c>
      <c r="AL4" s="81">
        <v>0</v>
      </c>
      <c r="AM4" s="81">
        <v>0</v>
      </c>
      <c r="AN4" s="81">
        <f>2/AD4</f>
        <v>0.1</v>
      </c>
      <c r="AO4" s="81">
        <f>18/AD4</f>
        <v>0.9</v>
      </c>
      <c r="AP4" s="81">
        <v>0</v>
      </c>
      <c r="AQ4" s="10">
        <v>461.7</v>
      </c>
      <c r="AR4" s="79"/>
      <c r="AS4" s="81">
        <f t="shared" si="2"/>
        <v>0</v>
      </c>
      <c r="AT4" s="60">
        <v>2</v>
      </c>
      <c r="AU4" s="59" t="s">
        <v>626</v>
      </c>
      <c r="AV4" s="571"/>
      <c r="AW4" s="56"/>
      <c r="AX4" s="194">
        <v>40816</v>
      </c>
      <c r="AY4" s="574" t="s">
        <v>12</v>
      </c>
      <c r="AZ4" s="574" t="s">
        <v>239</v>
      </c>
      <c r="BA4" s="575"/>
      <c r="BB4" s="214">
        <v>40722</v>
      </c>
      <c r="BC4" s="101"/>
      <c r="BD4" s="101"/>
      <c r="BE4" s="214"/>
      <c r="BF4" s="101"/>
      <c r="BG4" s="37"/>
      <c r="BH4" s="580"/>
      <c r="BI4" s="115"/>
      <c r="BJ4" s="115"/>
      <c r="BK4" s="198"/>
      <c r="BL4" s="198">
        <f t="shared" si="3"/>
        <v>731</v>
      </c>
      <c r="BM4" s="198">
        <f t="shared" si="4"/>
        <v>1096</v>
      </c>
      <c r="BN4" s="198"/>
      <c r="BO4" s="115"/>
      <c r="BP4" s="37"/>
      <c r="BQ4" s="115"/>
      <c r="BR4" s="105"/>
      <c r="BS4" s="105"/>
      <c r="BT4" s="105"/>
      <c r="BU4" s="165" t="s">
        <v>186</v>
      </c>
      <c r="BV4" s="330">
        <v>41265</v>
      </c>
      <c r="BW4" s="266"/>
      <c r="BX4" s="759">
        <v>3434319.2948090113</v>
      </c>
      <c r="BY4" s="172" t="s">
        <v>172</v>
      </c>
      <c r="BZ4" s="266"/>
      <c r="CA4" s="441">
        <v>41044</v>
      </c>
      <c r="CB4" s="266">
        <v>41477</v>
      </c>
      <c r="CC4" s="780">
        <f>(CX4-CB4)/30</f>
        <v>1.7333333333333334</v>
      </c>
      <c r="CD4" s="617"/>
      <c r="CE4" s="449">
        <v>40899</v>
      </c>
      <c r="CF4" s="442">
        <v>2011</v>
      </c>
      <c r="CG4" s="601">
        <f t="shared" si="5"/>
        <v>5.9</v>
      </c>
      <c r="CH4" s="133">
        <v>15</v>
      </c>
      <c r="CI4" s="133">
        <f t="shared" si="6"/>
        <v>16</v>
      </c>
      <c r="CJ4" s="133">
        <f t="shared" si="7"/>
        <v>19</v>
      </c>
      <c r="CK4" s="133">
        <f t="shared" si="8"/>
        <v>20</v>
      </c>
      <c r="CL4" s="133">
        <f t="shared" si="9"/>
        <v>4</v>
      </c>
      <c r="CM4" s="133">
        <f t="shared" si="10"/>
        <v>4</v>
      </c>
      <c r="CN4" s="243">
        <v>10566</v>
      </c>
      <c r="CO4" s="243">
        <f t="shared" si="11"/>
        <v>42264</v>
      </c>
      <c r="CP4" s="126" t="s">
        <v>129</v>
      </c>
      <c r="CQ4" s="793">
        <f t="shared" si="12"/>
        <v>41355</v>
      </c>
      <c r="CR4" s="453">
        <v>41500</v>
      </c>
      <c r="CS4" s="794"/>
      <c r="CT4" s="118">
        <v>41429</v>
      </c>
      <c r="CU4" s="875">
        <f t="shared" si="49"/>
        <v>1.9638888888888888</v>
      </c>
      <c r="CV4" s="118"/>
      <c r="CW4" s="786">
        <v>41508</v>
      </c>
      <c r="CX4" s="453">
        <v>41529</v>
      </c>
      <c r="CY4" s="621">
        <v>2013</v>
      </c>
      <c r="CZ4" s="134"/>
      <c r="DA4" s="126"/>
      <c r="DB4" s="126"/>
      <c r="DC4" s="126"/>
      <c r="DD4" s="126"/>
      <c r="DE4" s="126"/>
      <c r="DF4" s="119"/>
      <c r="DG4" s="126">
        <f t="shared" si="13"/>
        <v>41865</v>
      </c>
      <c r="DH4" s="126" t="s">
        <v>308</v>
      </c>
      <c r="DI4" s="126" t="s">
        <v>129</v>
      </c>
      <c r="DJ4" s="126" t="s">
        <v>129</v>
      </c>
      <c r="DK4" s="126">
        <v>41932</v>
      </c>
      <c r="DL4" s="126" t="s">
        <v>129</v>
      </c>
      <c r="DM4" s="126"/>
      <c r="DN4" s="118">
        <v>42178</v>
      </c>
      <c r="DO4" s="118"/>
      <c r="DP4" s="118"/>
      <c r="DQ4" s="118"/>
      <c r="DR4" s="204" t="s">
        <v>129</v>
      </c>
      <c r="DS4" s="204" t="s">
        <v>129</v>
      </c>
      <c r="DT4" s="126"/>
      <c r="DU4" s="126"/>
      <c r="DV4" s="126"/>
      <c r="DW4" s="691" t="str">
        <f t="shared" si="14"/>
        <v>0</v>
      </c>
      <c r="DX4" s="126"/>
      <c r="DY4" s="126"/>
      <c r="DZ4" s="691" t="str">
        <f t="shared" si="15"/>
        <v>0</v>
      </c>
      <c r="EA4" s="126"/>
      <c r="EB4" s="126"/>
      <c r="EC4" s="691" t="str">
        <f t="shared" si="16"/>
        <v>0</v>
      </c>
      <c r="ED4" s="126"/>
      <c r="EE4" s="126"/>
      <c r="EF4" s="691" t="str">
        <f t="shared" si="17"/>
        <v>0</v>
      </c>
      <c r="EG4" s="133"/>
      <c r="EH4" s="745"/>
      <c r="EI4" s="691" t="str">
        <f t="shared" si="18"/>
        <v>0</v>
      </c>
      <c r="EJ4" s="243"/>
      <c r="EK4" s="701"/>
      <c r="EL4" s="696"/>
      <c r="EM4" s="697" t="str">
        <f t="shared" si="19"/>
        <v>0</v>
      </c>
      <c r="EN4" s="701"/>
      <c r="EO4" s="696"/>
      <c r="EP4" s="697" t="str">
        <f t="shared" si="20"/>
        <v>0</v>
      </c>
      <c r="EQ4" s="701"/>
      <c r="ER4" s="696"/>
      <c r="ES4" s="697" t="str">
        <f t="shared" si="21"/>
        <v>0</v>
      </c>
      <c r="ET4" s="704"/>
      <c r="EU4" s="722"/>
      <c r="EV4" s="698" t="str">
        <f t="shared" si="22"/>
        <v>0</v>
      </c>
      <c r="EW4" s="699"/>
      <c r="EX4" s="700"/>
      <c r="EY4" s="697" t="str">
        <f t="shared" si="23"/>
        <v>0</v>
      </c>
      <c r="EZ4" s="701"/>
      <c r="FA4" s="701"/>
      <c r="FB4" s="697" t="str">
        <f t="shared" si="24"/>
        <v>0</v>
      </c>
      <c r="FC4" s="701"/>
      <c r="FD4" s="701"/>
      <c r="FE4" s="697" t="str">
        <f t="shared" si="25"/>
        <v>0</v>
      </c>
      <c r="FF4" s="701"/>
      <c r="FG4" s="701"/>
      <c r="FH4" s="697" t="str">
        <f t="shared" si="26"/>
        <v>0</v>
      </c>
      <c r="FI4" s="701"/>
      <c r="FJ4" s="701"/>
      <c r="FK4" s="697" t="str">
        <f t="shared" si="27"/>
        <v>0</v>
      </c>
      <c r="FL4" s="701"/>
      <c r="FM4" s="701"/>
      <c r="FN4" s="701"/>
      <c r="FO4" s="701"/>
      <c r="FP4" s="701">
        <v>43174</v>
      </c>
      <c r="FQ4" s="699">
        <f t="shared" si="28"/>
        <v>0</v>
      </c>
      <c r="FR4" s="701"/>
      <c r="FS4" s="701">
        <f>CX4</f>
        <v>41529</v>
      </c>
      <c r="FT4" s="723"/>
      <c r="FU4" s="723"/>
      <c r="FV4" s="727"/>
      <c r="FW4" s="727"/>
      <c r="FX4" s="728">
        <f t="shared" si="29"/>
        <v>0</v>
      </c>
      <c r="FY4" s="728">
        <f t="shared" si="30"/>
        <v>1384.3</v>
      </c>
      <c r="FZ4" s="724"/>
      <c r="GA4" s="741"/>
      <c r="GB4" s="724"/>
      <c r="GC4" s="724"/>
      <c r="GD4" s="583"/>
      <c r="GE4" s="514"/>
      <c r="GF4" s="11">
        <v>3732556</v>
      </c>
      <c r="GG4" s="584">
        <f>GQ4+GV4+HC4+HV4+HA4+HG4</f>
        <v>3732556</v>
      </c>
      <c r="GH4" s="13">
        <f t="shared" si="31"/>
        <v>0</v>
      </c>
      <c r="GI4" s="52">
        <f t="shared" si="50"/>
        <v>2186.1692095938151</v>
      </c>
      <c r="GJ4" s="52">
        <f t="shared" si="51"/>
        <v>186627.8</v>
      </c>
      <c r="GK4" s="609">
        <v>3491780</v>
      </c>
      <c r="GL4" s="12"/>
      <c r="GM4" s="13">
        <f t="shared" si="34"/>
        <v>-3491780</v>
      </c>
      <c r="GN4" s="135">
        <f t="shared" si="35"/>
        <v>0.95513835023506677</v>
      </c>
      <c r="GO4" s="136"/>
      <c r="GP4" s="11">
        <v>1090090</v>
      </c>
      <c r="GQ4" s="16">
        <v>1090090</v>
      </c>
      <c r="GR4" s="69"/>
      <c r="GS4" s="22">
        <f t="shared" si="36"/>
        <v>54504.5</v>
      </c>
      <c r="GT4" s="38">
        <f t="shared" si="37"/>
        <v>0</v>
      </c>
      <c r="GU4" s="11">
        <v>2287466</v>
      </c>
      <c r="GV4" s="12">
        <f t="shared" si="38"/>
        <v>2287466</v>
      </c>
      <c r="GW4" s="14">
        <v>616923</v>
      </c>
      <c r="GX4" s="14">
        <v>1670543</v>
      </c>
      <c r="GY4" s="38">
        <f t="shared" si="39"/>
        <v>0</v>
      </c>
      <c r="GZ4" s="888">
        <f t="shared" si="52"/>
        <v>114373.3</v>
      </c>
      <c r="HA4" s="12">
        <v>0</v>
      </c>
      <c r="HB4" s="586">
        <v>355000</v>
      </c>
      <c r="HC4" s="16">
        <v>355000</v>
      </c>
      <c r="HD4" s="69"/>
      <c r="HE4" s="41">
        <f t="shared" si="40"/>
        <v>9.5109088785272078E-2</v>
      </c>
      <c r="HF4" s="326"/>
      <c r="HG4" s="16">
        <v>0</v>
      </c>
      <c r="HH4" s="23">
        <f t="shared" si="53"/>
        <v>0</v>
      </c>
      <c r="HI4" s="22">
        <f t="shared" si="41"/>
        <v>17750</v>
      </c>
      <c r="HJ4" s="52">
        <f t="shared" si="42"/>
        <v>72254.5</v>
      </c>
      <c r="HK4" s="23">
        <f t="shared" si="43"/>
        <v>0</v>
      </c>
      <c r="HL4" s="51"/>
      <c r="HM4" s="51"/>
      <c r="HN4" s="40">
        <v>0</v>
      </c>
      <c r="HO4" s="40">
        <v>0</v>
      </c>
      <c r="HP4" s="22">
        <f t="shared" si="44"/>
        <v>72254.5</v>
      </c>
      <c r="HQ4" s="40">
        <v>0</v>
      </c>
      <c r="HR4" s="22">
        <f t="shared" si="45"/>
        <v>72254.5</v>
      </c>
      <c r="HS4" s="53">
        <f t="shared" si="46"/>
        <v>0.38715829045833472</v>
      </c>
      <c r="HT4" s="40"/>
      <c r="HU4" s="40"/>
      <c r="HV4" s="12">
        <v>0</v>
      </c>
      <c r="HW4" s="42">
        <f t="shared" si="47"/>
        <v>3732556</v>
      </c>
      <c r="HX4" s="243"/>
      <c r="HY4" s="243">
        <f t="shared" si="48"/>
        <v>0</v>
      </c>
      <c r="HZ4" s="118"/>
      <c r="IA4" s="243"/>
      <c r="IB4" s="243"/>
      <c r="IC4" s="118"/>
      <c r="ID4" s="118"/>
      <c r="IE4" s="243"/>
      <c r="IF4" s="118"/>
      <c r="IG4" s="243"/>
      <c r="IH4" s="118"/>
      <c r="II4" s="243"/>
      <c r="IJ4" s="119"/>
      <c r="IK4" s="403"/>
      <c r="IL4" s="338"/>
      <c r="IM4" s="338"/>
      <c r="IN4" s="126"/>
      <c r="IO4" s="243"/>
      <c r="IP4" s="126"/>
      <c r="IQ4" s="243"/>
      <c r="IR4" s="404"/>
      <c r="IS4" s="404"/>
      <c r="IT4" s="404"/>
      <c r="IU4" s="404"/>
      <c r="IV4" s="286"/>
      <c r="IW4" s="286"/>
      <c r="IX4" s="286"/>
      <c r="IY4" s="286"/>
      <c r="IZ4" s="286"/>
      <c r="JA4" s="286"/>
      <c r="JB4" s="243"/>
      <c r="JC4" s="126"/>
      <c r="JD4" s="119"/>
      <c r="JE4" s="126"/>
      <c r="JF4" s="126"/>
      <c r="JG4" s="119"/>
    </row>
    <row r="5" spans="1:267" ht="24.95" customHeight="1">
      <c r="A5" s="7" t="s">
        <v>153</v>
      </c>
      <c r="B5" s="8" t="s">
        <v>82</v>
      </c>
      <c r="C5" s="8" t="s">
        <v>115</v>
      </c>
      <c r="D5" s="8">
        <v>2010</v>
      </c>
      <c r="E5" s="8" t="s">
        <v>157</v>
      </c>
      <c r="F5" s="8" t="s">
        <v>37</v>
      </c>
      <c r="G5" s="8" t="s">
        <v>183</v>
      </c>
      <c r="H5" s="56" t="s">
        <v>260</v>
      </c>
      <c r="I5" s="56"/>
      <c r="J5" s="56"/>
      <c r="K5" s="502" t="s">
        <v>627</v>
      </c>
      <c r="L5" s="567"/>
      <c r="M5" s="567"/>
      <c r="N5" s="567"/>
      <c r="O5" s="217">
        <v>9462</v>
      </c>
      <c r="P5" s="217">
        <v>874165.66</v>
      </c>
      <c r="Q5" s="217">
        <v>262890</v>
      </c>
      <c r="R5" s="217">
        <f>P5/AD5</f>
        <v>29138.855333333333</v>
      </c>
      <c r="S5" s="217">
        <f>P5/O5</f>
        <v>92.386985838089203</v>
      </c>
      <c r="T5" s="217">
        <f>Q5/O5</f>
        <v>27.783766645529486</v>
      </c>
      <c r="U5" s="217">
        <f>Q5/AJ5</f>
        <v>117.46438848277958</v>
      </c>
      <c r="V5" s="217">
        <f>Q5/AD5</f>
        <v>8763</v>
      </c>
      <c r="W5" s="217">
        <f>O5/AD5</f>
        <v>315.39999999999998</v>
      </c>
      <c r="X5" s="218">
        <v>379.2</v>
      </c>
      <c r="Y5" s="219">
        <f>AJ5/O5</f>
        <v>0.23652927499471571</v>
      </c>
      <c r="Z5" s="218" t="s">
        <v>210</v>
      </c>
      <c r="AA5" s="220"/>
      <c r="AB5" s="220"/>
      <c r="AC5" s="8" t="s">
        <v>16</v>
      </c>
      <c r="AD5" s="342">
        <f t="shared" si="0"/>
        <v>30</v>
      </c>
      <c r="AE5" s="570"/>
      <c r="AF5" s="844">
        <v>30</v>
      </c>
      <c r="AG5" s="62"/>
      <c r="AH5" s="62"/>
      <c r="AI5" s="10">
        <v>2238.04</v>
      </c>
      <c r="AJ5" s="85">
        <v>2238.04</v>
      </c>
      <c r="AK5" s="10">
        <f t="shared" si="1"/>
        <v>74.601333333333329</v>
      </c>
      <c r="AL5" s="81"/>
      <c r="AM5" s="81">
        <v>0.17</v>
      </c>
      <c r="AN5" s="81">
        <v>0.37</v>
      </c>
      <c r="AO5" s="81">
        <v>0.33</v>
      </c>
      <c r="AP5" s="81">
        <v>0.13</v>
      </c>
      <c r="AQ5" s="10">
        <v>1419.56</v>
      </c>
      <c r="AR5" s="79">
        <v>664</v>
      </c>
      <c r="AS5" s="81">
        <f t="shared" si="2"/>
        <v>7.0175438596491224E-2</v>
      </c>
      <c r="AT5" s="60"/>
      <c r="AU5" s="59" t="s">
        <v>626</v>
      </c>
      <c r="AV5" s="571"/>
      <c r="AW5" s="56"/>
      <c r="AX5" s="194">
        <v>40816</v>
      </c>
      <c r="AY5" s="574" t="s">
        <v>172</v>
      </c>
      <c r="AZ5" s="574" t="s">
        <v>172</v>
      </c>
      <c r="BA5" s="575"/>
      <c r="BB5" s="214">
        <v>40491</v>
      </c>
      <c r="BC5" s="101"/>
      <c r="BD5" s="101"/>
      <c r="BE5" s="214"/>
      <c r="BF5" s="101"/>
      <c r="BG5" s="37"/>
      <c r="BH5" s="580"/>
      <c r="BI5" s="115"/>
      <c r="BJ5" s="115"/>
      <c r="BK5" s="198"/>
      <c r="BL5" s="198">
        <f t="shared" si="3"/>
        <v>731</v>
      </c>
      <c r="BM5" s="198">
        <f t="shared" si="4"/>
        <v>1096</v>
      </c>
      <c r="BN5" s="198"/>
      <c r="BO5" s="115"/>
      <c r="BP5" s="37"/>
      <c r="BQ5" s="115"/>
      <c r="BR5" s="105"/>
      <c r="BS5" s="105"/>
      <c r="BT5" s="105"/>
      <c r="BU5" s="165"/>
      <c r="BV5" s="330" t="s">
        <v>172</v>
      </c>
      <c r="BW5" s="266"/>
      <c r="BX5" s="166" t="s">
        <v>172</v>
      </c>
      <c r="BY5" s="172" t="s">
        <v>172</v>
      </c>
      <c r="BZ5" s="266"/>
      <c r="CA5" s="266"/>
      <c r="CB5" s="266" t="s">
        <v>172</v>
      </c>
      <c r="CC5" s="781"/>
      <c r="CD5" s="617"/>
      <c r="CE5" s="449">
        <v>40945</v>
      </c>
      <c r="CF5" s="442">
        <v>2012</v>
      </c>
      <c r="CG5" s="601">
        <f t="shared" si="5"/>
        <v>15.133333333333333</v>
      </c>
      <c r="CH5" s="133">
        <v>15</v>
      </c>
      <c r="CI5" s="133">
        <f t="shared" si="6"/>
        <v>16</v>
      </c>
      <c r="CJ5" s="133">
        <f t="shared" si="7"/>
        <v>21</v>
      </c>
      <c r="CK5" s="133">
        <f t="shared" si="8"/>
        <v>23</v>
      </c>
      <c r="CL5" s="133">
        <f t="shared" si="9"/>
        <v>6</v>
      </c>
      <c r="CM5" s="133">
        <f t="shared" si="10"/>
        <v>7</v>
      </c>
      <c r="CN5" s="243">
        <v>11928</v>
      </c>
      <c r="CO5" s="243">
        <f t="shared" si="11"/>
        <v>71568</v>
      </c>
      <c r="CP5" s="126" t="s">
        <v>129</v>
      </c>
      <c r="CQ5" s="793">
        <f t="shared" si="12"/>
        <v>41400</v>
      </c>
      <c r="CR5" s="453">
        <v>41601</v>
      </c>
      <c r="CS5" s="794"/>
      <c r="CT5" s="134">
        <v>41669</v>
      </c>
      <c r="CU5" s="876">
        <f t="shared" si="49"/>
        <v>3.2722222222222221</v>
      </c>
      <c r="CV5" s="134"/>
      <c r="CW5" s="799">
        <v>41663</v>
      </c>
      <c r="CX5" s="804">
        <v>41663</v>
      </c>
      <c r="CY5" s="773">
        <v>2014</v>
      </c>
      <c r="CZ5" s="195"/>
      <c r="DA5" s="126"/>
      <c r="DB5" s="126"/>
      <c r="DC5" s="126" t="s">
        <v>129</v>
      </c>
      <c r="DD5" s="126" t="s">
        <v>129</v>
      </c>
      <c r="DE5" s="126"/>
      <c r="DF5" s="118">
        <v>42697</v>
      </c>
      <c r="DG5" s="118">
        <f t="shared" si="13"/>
        <v>41966</v>
      </c>
      <c r="DH5" s="118" t="s">
        <v>129</v>
      </c>
      <c r="DI5" s="118"/>
      <c r="DJ5" s="118">
        <v>41925</v>
      </c>
      <c r="DK5" s="118">
        <v>41928</v>
      </c>
      <c r="DL5" s="118"/>
      <c r="DM5" s="118"/>
      <c r="DN5" s="118" t="s">
        <v>172</v>
      </c>
      <c r="DO5" s="118"/>
      <c r="DP5" s="118"/>
      <c r="DQ5" s="118"/>
      <c r="DR5" s="118"/>
      <c r="DS5" s="118"/>
      <c r="DT5" s="126"/>
      <c r="DU5" s="126"/>
      <c r="DV5" s="126"/>
      <c r="DW5" s="691" t="str">
        <f t="shared" si="14"/>
        <v>0</v>
      </c>
      <c r="DX5" s="126"/>
      <c r="DY5" s="126"/>
      <c r="DZ5" s="691" t="str">
        <f t="shared" si="15"/>
        <v>0</v>
      </c>
      <c r="EA5" s="126"/>
      <c r="EB5" s="126"/>
      <c r="EC5" s="691" t="str">
        <f t="shared" si="16"/>
        <v>0</v>
      </c>
      <c r="ED5" s="126"/>
      <c r="EE5" s="126"/>
      <c r="EF5" s="691" t="str">
        <f t="shared" si="17"/>
        <v>0</v>
      </c>
      <c r="EG5" s="133"/>
      <c r="EH5" s="745"/>
      <c r="EI5" s="691" t="str">
        <f t="shared" si="18"/>
        <v>0</v>
      </c>
      <c r="EJ5" s="243"/>
      <c r="EK5" s="701"/>
      <c r="EL5" s="696"/>
      <c r="EM5" s="697" t="str">
        <f t="shared" si="19"/>
        <v>0</v>
      </c>
      <c r="EN5" s="701"/>
      <c r="EO5" s="696"/>
      <c r="EP5" s="697" t="str">
        <f t="shared" si="20"/>
        <v>0</v>
      </c>
      <c r="EQ5" s="701"/>
      <c r="ER5" s="696"/>
      <c r="ES5" s="697" t="str">
        <f t="shared" si="21"/>
        <v>0</v>
      </c>
      <c r="ET5" s="704"/>
      <c r="EU5" s="722"/>
      <c r="EV5" s="698" t="str">
        <f t="shared" si="22"/>
        <v>0</v>
      </c>
      <c r="EW5" s="699"/>
      <c r="EX5" s="700"/>
      <c r="EY5" s="697" t="str">
        <f t="shared" si="23"/>
        <v>0</v>
      </c>
      <c r="EZ5" s="696"/>
      <c r="FA5" s="701"/>
      <c r="FB5" s="697" t="str">
        <f t="shared" si="24"/>
        <v>0</v>
      </c>
      <c r="FC5" s="705"/>
      <c r="FD5" s="705"/>
      <c r="FE5" s="697" t="str">
        <f t="shared" si="25"/>
        <v>0</v>
      </c>
      <c r="FF5" s="705"/>
      <c r="FG5" s="703"/>
      <c r="FH5" s="697" t="str">
        <f t="shared" si="26"/>
        <v>0</v>
      </c>
      <c r="FI5" s="701"/>
      <c r="FJ5" s="701"/>
      <c r="FK5" s="697" t="str">
        <f t="shared" si="27"/>
        <v>0</v>
      </c>
      <c r="FL5" s="703"/>
      <c r="FM5" s="703"/>
      <c r="FN5" s="703"/>
      <c r="FO5" s="703"/>
      <c r="FP5" s="701"/>
      <c r="FQ5" s="699">
        <f t="shared" si="28"/>
        <v>0</v>
      </c>
      <c r="FR5" s="703"/>
      <c r="FS5" s="701">
        <f>CX5</f>
        <v>41663</v>
      </c>
      <c r="FT5" s="723"/>
      <c r="FU5" s="723"/>
      <c r="FV5" s="727"/>
      <c r="FW5" s="727"/>
      <c r="FX5" s="728">
        <f t="shared" si="29"/>
        <v>0</v>
      </c>
      <c r="FY5" s="728">
        <f t="shared" si="30"/>
        <v>1388.7666666666667</v>
      </c>
      <c r="FZ5" s="724"/>
      <c r="GA5" s="741" t="s">
        <v>878</v>
      </c>
      <c r="GB5" s="724"/>
      <c r="GC5" s="724"/>
      <c r="GD5" s="583"/>
      <c r="GE5" s="514"/>
      <c r="GF5" s="11">
        <v>3911389</v>
      </c>
      <c r="GG5" s="584">
        <f>GQ5+GV5+HC5+HV5+HA5+HG5</f>
        <v>3911389</v>
      </c>
      <c r="GH5" s="13">
        <f t="shared" si="31"/>
        <v>0</v>
      </c>
      <c r="GI5" s="52">
        <f t="shared" si="50"/>
        <v>1747.6850279709031</v>
      </c>
      <c r="GJ5" s="52">
        <f t="shared" si="51"/>
        <v>130379.63333333333</v>
      </c>
      <c r="GK5" s="609"/>
      <c r="GL5" s="12"/>
      <c r="GM5" s="13">
        <f t="shared" si="34"/>
        <v>0</v>
      </c>
      <c r="GN5" s="135">
        <f t="shared" si="35"/>
        <v>0</v>
      </c>
      <c r="GO5" s="136"/>
      <c r="GP5" s="586">
        <v>0</v>
      </c>
      <c r="GQ5" s="16">
        <v>0</v>
      </c>
      <c r="GR5" s="69"/>
      <c r="GS5" s="22">
        <f t="shared" si="36"/>
        <v>0</v>
      </c>
      <c r="GT5" s="38">
        <f t="shared" si="37"/>
        <v>0</v>
      </c>
      <c r="GU5" s="11">
        <v>2481000</v>
      </c>
      <c r="GV5" s="12">
        <f t="shared" si="38"/>
        <v>2481000</v>
      </c>
      <c r="GW5" s="14">
        <v>486094</v>
      </c>
      <c r="GX5" s="14">
        <v>1994906</v>
      </c>
      <c r="GY5" s="38">
        <f t="shared" si="39"/>
        <v>0</v>
      </c>
      <c r="GZ5" s="888">
        <f t="shared" si="52"/>
        <v>82700</v>
      </c>
      <c r="HA5" s="12"/>
      <c r="HB5" s="586">
        <f>HC5</f>
        <v>1359605</v>
      </c>
      <c r="HC5" s="16">
        <v>1359605</v>
      </c>
      <c r="HD5" s="69"/>
      <c r="HE5" s="41">
        <f t="shared" si="40"/>
        <v>0.34760158092176463</v>
      </c>
      <c r="HF5" s="326"/>
      <c r="HG5" s="16"/>
      <c r="HH5" s="23">
        <f t="shared" si="53"/>
        <v>0</v>
      </c>
      <c r="HI5" s="22">
        <f t="shared" si="41"/>
        <v>45320.166666666664</v>
      </c>
      <c r="HJ5" s="52">
        <f t="shared" si="42"/>
        <v>45320.166666666664</v>
      </c>
      <c r="HK5" s="23">
        <f t="shared" si="43"/>
        <v>0</v>
      </c>
      <c r="HL5" s="51"/>
      <c r="HM5" s="51"/>
      <c r="HN5" s="40">
        <v>2106869</v>
      </c>
      <c r="HO5" s="40">
        <v>550000</v>
      </c>
      <c r="HP5" s="22">
        <f t="shared" si="44"/>
        <v>63653.5</v>
      </c>
      <c r="HQ5" s="40">
        <v>1220907.39295</v>
      </c>
      <c r="HR5" s="22">
        <f t="shared" si="45"/>
        <v>104350.41309833335</v>
      </c>
      <c r="HS5" s="53">
        <f t="shared" si="46"/>
        <v>0.5439291445742479</v>
      </c>
      <c r="HT5" s="40">
        <v>262890</v>
      </c>
      <c r="HU5" s="40"/>
      <c r="HV5" s="12">
        <v>70784</v>
      </c>
      <c r="HW5" s="42">
        <f t="shared" si="47"/>
        <v>6018258</v>
      </c>
      <c r="HX5" s="243"/>
      <c r="HY5" s="243">
        <f t="shared" si="48"/>
        <v>0</v>
      </c>
      <c r="HZ5" s="118"/>
      <c r="IA5" s="243"/>
      <c r="IB5" s="243"/>
      <c r="IC5" s="118"/>
      <c r="ID5" s="118"/>
      <c r="IE5" s="243"/>
      <c r="IF5" s="118"/>
      <c r="IG5" s="243"/>
      <c r="IH5" s="118"/>
      <c r="II5" s="243"/>
      <c r="IJ5" s="119"/>
      <c r="IK5" s="403"/>
      <c r="IL5" s="338"/>
      <c r="IM5" s="338"/>
      <c r="IN5" s="126"/>
      <c r="IO5" s="243"/>
      <c r="IP5" s="126"/>
      <c r="IQ5" s="243"/>
      <c r="IR5" s="404"/>
      <c r="IS5" s="404"/>
      <c r="IT5" s="404"/>
      <c r="IU5" s="404"/>
      <c r="IV5" s="286"/>
      <c r="IW5" s="286"/>
      <c r="IX5" s="286"/>
      <c r="IY5" s="286"/>
      <c r="IZ5" s="286"/>
      <c r="JA5" s="286"/>
      <c r="JB5" s="243"/>
      <c r="JC5" s="126"/>
      <c r="JD5" s="119"/>
      <c r="JE5" s="126"/>
      <c r="JF5" s="126"/>
      <c r="JG5" s="119"/>
    </row>
    <row r="6" spans="1:267" ht="35.1" customHeight="1">
      <c r="A6" s="7" t="s">
        <v>311</v>
      </c>
      <c r="B6" s="8" t="s">
        <v>35</v>
      </c>
      <c r="C6" s="8" t="s">
        <v>113</v>
      </c>
      <c r="D6" s="8">
        <v>2011</v>
      </c>
      <c r="E6" s="8" t="s">
        <v>108</v>
      </c>
      <c r="F6" s="8"/>
      <c r="G6" s="8"/>
      <c r="H6" s="56" t="s">
        <v>260</v>
      </c>
      <c r="I6" s="56"/>
      <c r="J6" s="56"/>
      <c r="K6" s="272"/>
      <c r="L6" s="567"/>
      <c r="M6" s="567"/>
      <c r="N6" s="567"/>
      <c r="O6" s="217">
        <v>5169</v>
      </c>
      <c r="P6" s="217">
        <f>Q6</f>
        <v>908948</v>
      </c>
      <c r="Q6" s="217">
        <v>908948</v>
      </c>
      <c r="R6" s="217">
        <f>P6/(AD6+AD34)</f>
        <v>10693.505882352942</v>
      </c>
      <c r="S6" s="217">
        <f>P6/O6</f>
        <v>175.84600502998646</v>
      </c>
      <c r="T6" s="217">
        <f>Q6/O6</f>
        <v>175.84600502998646</v>
      </c>
      <c r="U6" s="217">
        <f>Q6/(AJ6+AJ34)</f>
        <v>121.44908133011054</v>
      </c>
      <c r="V6" s="217">
        <f>Q6/(AD6+AD34)</f>
        <v>10693.505882352942</v>
      </c>
      <c r="W6" s="217">
        <f>O6/(AD6+AD34)</f>
        <v>60.811764705882354</v>
      </c>
      <c r="X6" s="218"/>
      <c r="Y6" s="219">
        <f>(AJ6+AJ34)/O6</f>
        <v>1.4478990133488101</v>
      </c>
      <c r="Z6" s="218" t="s">
        <v>192</v>
      </c>
      <c r="AA6" s="220"/>
      <c r="AB6" s="220"/>
      <c r="AC6" s="8" t="s">
        <v>15</v>
      </c>
      <c r="AD6" s="342">
        <f t="shared" si="0"/>
        <v>51</v>
      </c>
      <c r="AE6" s="8">
        <v>51</v>
      </c>
      <c r="AF6" s="570"/>
      <c r="AG6" s="510"/>
      <c r="AH6" s="510"/>
      <c r="AI6" s="10">
        <v>4837.3599999999997</v>
      </c>
      <c r="AJ6" s="85">
        <v>4837.3599999999997</v>
      </c>
      <c r="AK6" s="10">
        <f t="shared" si="1"/>
        <v>94.850196078431367</v>
      </c>
      <c r="AL6" s="60"/>
      <c r="AM6" s="60"/>
      <c r="AN6" s="60"/>
      <c r="AO6" s="60"/>
      <c r="AP6" s="60"/>
      <c r="AQ6" s="10">
        <v>900</v>
      </c>
      <c r="AR6" s="79">
        <v>0</v>
      </c>
      <c r="AS6" s="81">
        <f t="shared" si="2"/>
        <v>0</v>
      </c>
      <c r="AT6" s="60"/>
      <c r="AU6" s="59" t="s">
        <v>626</v>
      </c>
      <c r="AV6" s="571" t="s">
        <v>121</v>
      </c>
      <c r="AW6" s="56"/>
      <c r="AX6" s="194">
        <v>40816</v>
      </c>
      <c r="AY6" s="574" t="s">
        <v>12</v>
      </c>
      <c r="AZ6" s="574" t="s">
        <v>237</v>
      </c>
      <c r="BA6" s="575"/>
      <c r="BB6" s="214">
        <v>40722</v>
      </c>
      <c r="BC6" s="101">
        <v>42317</v>
      </c>
      <c r="BD6" s="101"/>
      <c r="BE6" s="214"/>
      <c r="BF6" s="101"/>
      <c r="BG6" s="37"/>
      <c r="BH6" s="580"/>
      <c r="BI6" s="115"/>
      <c r="BJ6" s="115"/>
      <c r="BK6" s="198"/>
      <c r="BL6" s="198">
        <f t="shared" si="3"/>
        <v>731</v>
      </c>
      <c r="BM6" s="198">
        <f t="shared" si="4"/>
        <v>1096</v>
      </c>
      <c r="BN6" s="198"/>
      <c r="BO6" s="115"/>
      <c r="BP6" s="37"/>
      <c r="BQ6" s="115"/>
      <c r="BR6" s="105"/>
      <c r="BS6" s="105"/>
      <c r="BT6" s="103"/>
      <c r="BU6" s="165" t="s">
        <v>145</v>
      </c>
      <c r="BV6" s="330">
        <v>40898</v>
      </c>
      <c r="BW6" s="266"/>
      <c r="BX6" s="759">
        <v>9794319.2948090117</v>
      </c>
      <c r="BY6" s="172" t="s">
        <v>172</v>
      </c>
      <c r="BZ6" s="266"/>
      <c r="CA6" s="441">
        <v>41176</v>
      </c>
      <c r="CB6" s="266">
        <v>41568</v>
      </c>
      <c r="CC6" s="780">
        <f>(CX6-CB6)/30</f>
        <v>3.8333333333333335</v>
      </c>
      <c r="CD6" s="617"/>
      <c r="CE6" s="449">
        <v>40898</v>
      </c>
      <c r="CF6" s="442">
        <v>2011</v>
      </c>
      <c r="CG6" s="601">
        <f t="shared" si="5"/>
        <v>5.8666666666666663</v>
      </c>
      <c r="CH6" s="133">
        <v>22</v>
      </c>
      <c r="CI6" s="133">
        <f t="shared" si="6"/>
        <v>23</v>
      </c>
      <c r="CJ6" s="133">
        <f t="shared" si="7"/>
        <v>22</v>
      </c>
      <c r="CK6" s="133">
        <f t="shared" si="8"/>
        <v>25</v>
      </c>
      <c r="CL6" s="133">
        <f t="shared" si="9"/>
        <v>0</v>
      </c>
      <c r="CM6" s="133">
        <f t="shared" si="10"/>
        <v>2</v>
      </c>
      <c r="CN6" s="243">
        <v>30568</v>
      </c>
      <c r="CO6" s="243">
        <f t="shared" si="11"/>
        <v>0</v>
      </c>
      <c r="CP6" s="134" t="s">
        <v>129</v>
      </c>
      <c r="CQ6" s="794">
        <f t="shared" si="12"/>
        <v>41568</v>
      </c>
      <c r="CR6" s="453">
        <v>41568</v>
      </c>
      <c r="CS6" s="794"/>
      <c r="CT6" s="134">
        <v>41611</v>
      </c>
      <c r="CU6" s="876">
        <f t="shared" si="49"/>
        <v>2.4694444444444446</v>
      </c>
      <c r="CV6" s="134"/>
      <c r="CW6" s="799">
        <v>41683</v>
      </c>
      <c r="CX6" s="804">
        <v>41683</v>
      </c>
      <c r="CY6" s="773">
        <v>2014</v>
      </c>
      <c r="CZ6" s="195"/>
      <c r="DA6" s="126"/>
      <c r="DB6" s="126"/>
      <c r="DC6" s="126"/>
      <c r="DD6" s="126"/>
      <c r="DE6" s="126"/>
      <c r="DF6" s="119"/>
      <c r="DG6" s="126">
        <f t="shared" si="13"/>
        <v>41933</v>
      </c>
      <c r="DH6" s="126" t="s">
        <v>309</v>
      </c>
      <c r="DI6" s="126" t="s">
        <v>129</v>
      </c>
      <c r="DJ6" s="126"/>
      <c r="DK6" s="126"/>
      <c r="DL6" s="126"/>
      <c r="DM6" s="126"/>
      <c r="DN6" s="118">
        <v>42121</v>
      </c>
      <c r="DO6" s="118"/>
      <c r="DP6" s="204"/>
      <c r="DQ6" s="204"/>
      <c r="DR6" s="126"/>
      <c r="DS6" s="126"/>
      <c r="DT6" s="126"/>
      <c r="DU6" s="126"/>
      <c r="DV6" s="126"/>
      <c r="DW6" s="691" t="str">
        <f t="shared" si="14"/>
        <v>0</v>
      </c>
      <c r="DX6" s="126"/>
      <c r="DY6" s="126"/>
      <c r="DZ6" s="691" t="str">
        <f t="shared" si="15"/>
        <v>0</v>
      </c>
      <c r="EA6" s="126"/>
      <c r="EB6" s="126"/>
      <c r="EC6" s="691" t="str">
        <f t="shared" si="16"/>
        <v>0</v>
      </c>
      <c r="ED6" s="126"/>
      <c r="EE6" s="126"/>
      <c r="EF6" s="691" t="str">
        <f t="shared" si="17"/>
        <v>0</v>
      </c>
      <c r="EG6" s="133"/>
      <c r="EH6" s="745"/>
      <c r="EI6" s="691" t="str">
        <f t="shared" si="18"/>
        <v>0</v>
      </c>
      <c r="EJ6" s="243"/>
      <c r="EK6" s="701"/>
      <c r="EL6" s="696"/>
      <c r="EM6" s="697" t="str">
        <f t="shared" si="19"/>
        <v>0</v>
      </c>
      <c r="EN6" s="701"/>
      <c r="EO6" s="696"/>
      <c r="EP6" s="697" t="str">
        <f t="shared" si="20"/>
        <v>0</v>
      </c>
      <c r="EQ6" s="701"/>
      <c r="ER6" s="696"/>
      <c r="ES6" s="697" t="str">
        <f t="shared" si="21"/>
        <v>0</v>
      </c>
      <c r="ET6" s="704"/>
      <c r="EU6" s="722"/>
      <c r="EV6" s="698" t="str">
        <f t="shared" si="22"/>
        <v>0</v>
      </c>
      <c r="EW6" s="699"/>
      <c r="EX6" s="700"/>
      <c r="EY6" s="697" t="str">
        <f t="shared" si="23"/>
        <v>0</v>
      </c>
      <c r="EZ6" s="701"/>
      <c r="FA6" s="701"/>
      <c r="FB6" s="697" t="str">
        <f t="shared" si="24"/>
        <v>0</v>
      </c>
      <c r="FC6" s="701"/>
      <c r="FD6" s="701"/>
      <c r="FE6" s="697" t="str">
        <f t="shared" si="25"/>
        <v>0</v>
      </c>
      <c r="FF6" s="701"/>
      <c r="FG6" s="701"/>
      <c r="FH6" s="697" t="str">
        <f t="shared" si="26"/>
        <v>0</v>
      </c>
      <c r="FI6" s="701"/>
      <c r="FJ6" s="701"/>
      <c r="FK6" s="697" t="str">
        <f t="shared" si="27"/>
        <v>0</v>
      </c>
      <c r="FL6" s="701"/>
      <c r="FM6" s="701"/>
      <c r="FN6" s="701"/>
      <c r="FO6" s="701"/>
      <c r="FP6" s="701"/>
      <c r="FQ6" s="699">
        <f t="shared" si="28"/>
        <v>0</v>
      </c>
      <c r="FR6" s="701"/>
      <c r="FS6" s="701">
        <f>CX6</f>
        <v>41683</v>
      </c>
      <c r="FT6" s="723"/>
      <c r="FU6" s="723"/>
      <c r="FV6" s="727"/>
      <c r="FW6" s="727"/>
      <c r="FX6" s="728">
        <f t="shared" si="29"/>
        <v>0</v>
      </c>
      <c r="FY6" s="728">
        <f t="shared" si="30"/>
        <v>1389.4333333333334</v>
      </c>
      <c r="FZ6" s="724"/>
      <c r="GA6" s="741"/>
      <c r="GB6" s="724"/>
      <c r="GC6" s="724"/>
      <c r="GD6" s="583"/>
      <c r="GE6" s="514"/>
      <c r="GF6" s="11">
        <v>9522775</v>
      </c>
      <c r="GG6" s="584">
        <f>GQ6+GV6+HC6+HV6+HA6+HG6</f>
        <v>9522775</v>
      </c>
      <c r="GH6" s="13">
        <f t="shared" si="31"/>
        <v>0</v>
      </c>
      <c r="GI6" s="52">
        <f t="shared" si="50"/>
        <v>1968.5892718342238</v>
      </c>
      <c r="GJ6" s="52">
        <f t="shared" si="51"/>
        <v>186721.07843137256</v>
      </c>
      <c r="GK6" s="11"/>
      <c r="GL6" s="12"/>
      <c r="GM6" s="13">
        <f t="shared" si="34"/>
        <v>0</v>
      </c>
      <c r="GN6" s="135">
        <f t="shared" si="35"/>
        <v>0</v>
      </c>
      <c r="GO6" s="136"/>
      <c r="GP6" s="11">
        <v>2932668</v>
      </c>
      <c r="GQ6" s="16">
        <v>2932668</v>
      </c>
      <c r="GR6" s="69"/>
      <c r="GS6" s="22">
        <f t="shared" si="36"/>
        <v>57503.294117647056</v>
      </c>
      <c r="GT6" s="38">
        <f t="shared" si="37"/>
        <v>0</v>
      </c>
      <c r="GU6" s="11">
        <v>6290107</v>
      </c>
      <c r="GV6" s="12">
        <f t="shared" si="38"/>
        <v>6290107</v>
      </c>
      <c r="GW6" s="14">
        <v>1887032</v>
      </c>
      <c r="GX6" s="14">
        <v>4403075</v>
      </c>
      <c r="GY6" s="38">
        <f t="shared" si="39"/>
        <v>0</v>
      </c>
      <c r="GZ6" s="888">
        <f t="shared" si="52"/>
        <v>123335.43137254902</v>
      </c>
      <c r="HA6" s="12">
        <v>0</v>
      </c>
      <c r="HB6" s="586">
        <v>300000</v>
      </c>
      <c r="HC6" s="16">
        <v>300000</v>
      </c>
      <c r="HD6" s="69"/>
      <c r="HE6" s="41">
        <f t="shared" si="40"/>
        <v>3.150342205922118E-2</v>
      </c>
      <c r="HF6" s="326"/>
      <c r="HG6" s="16">
        <v>0</v>
      </c>
      <c r="HH6" s="23">
        <f t="shared" si="53"/>
        <v>0</v>
      </c>
      <c r="HI6" s="22">
        <f t="shared" si="41"/>
        <v>5882.3529411764703</v>
      </c>
      <c r="HJ6" s="52">
        <f t="shared" si="42"/>
        <v>63385.647058823532</v>
      </c>
      <c r="HK6" s="23">
        <f t="shared" si="43"/>
        <v>0</v>
      </c>
      <c r="HL6" s="51"/>
      <c r="HM6" s="51"/>
      <c r="HN6" s="40">
        <v>0</v>
      </c>
      <c r="HO6" s="40">
        <v>0</v>
      </c>
      <c r="HP6" s="22">
        <f t="shared" si="44"/>
        <v>63385.647058823532</v>
      </c>
      <c r="HQ6" s="40">
        <v>0</v>
      </c>
      <c r="HR6" s="22">
        <f t="shared" si="45"/>
        <v>63385.647058823532</v>
      </c>
      <c r="HS6" s="53">
        <f t="shared" si="46"/>
        <v>0.33946701460446144</v>
      </c>
      <c r="HT6" s="40"/>
      <c r="HU6" s="40"/>
      <c r="HV6" s="12">
        <v>0</v>
      </c>
      <c r="HW6" s="42">
        <f t="shared" si="47"/>
        <v>9522775</v>
      </c>
      <c r="HX6" s="243"/>
      <c r="HY6" s="243">
        <f t="shared" si="48"/>
        <v>0</v>
      </c>
      <c r="HZ6" s="118"/>
      <c r="IA6" s="243"/>
      <c r="IB6" s="243"/>
      <c r="IC6" s="118"/>
      <c r="ID6" s="118"/>
      <c r="IE6" s="243"/>
      <c r="IF6" s="118"/>
      <c r="IG6" s="243"/>
      <c r="IH6" s="118"/>
      <c r="II6" s="243"/>
      <c r="IJ6" s="119"/>
      <c r="IK6" s="403"/>
      <c r="IL6" s="338"/>
      <c r="IM6" s="338"/>
      <c r="IN6" s="126"/>
      <c r="IO6" s="243"/>
      <c r="IP6" s="126"/>
      <c r="IQ6" s="243"/>
      <c r="IR6" s="404"/>
      <c r="IS6" s="404"/>
      <c r="IT6" s="404"/>
      <c r="IU6" s="404"/>
      <c r="IV6" s="286"/>
      <c r="IW6" s="286"/>
      <c r="IX6" s="286"/>
      <c r="IY6" s="286"/>
      <c r="IZ6" s="286"/>
      <c r="JA6" s="286"/>
      <c r="JB6" s="243"/>
      <c r="JC6" s="126"/>
      <c r="JD6" s="119"/>
      <c r="JE6" s="126"/>
      <c r="JF6" s="126"/>
      <c r="JG6" s="119"/>
    </row>
    <row r="7" spans="1:267" ht="35.1" customHeight="1">
      <c r="A7" s="7" t="s">
        <v>312</v>
      </c>
      <c r="B7" s="8" t="s">
        <v>35</v>
      </c>
      <c r="C7" s="8" t="s">
        <v>113</v>
      </c>
      <c r="D7" s="8">
        <v>2011</v>
      </c>
      <c r="E7" s="8" t="s">
        <v>108</v>
      </c>
      <c r="F7" s="8"/>
      <c r="G7" s="8"/>
      <c r="H7" s="56"/>
      <c r="I7" s="56"/>
      <c r="J7" s="56"/>
      <c r="K7" s="272"/>
      <c r="L7" s="567"/>
      <c r="M7" s="567"/>
      <c r="N7" s="567"/>
      <c r="O7" s="68"/>
      <c r="P7" s="68"/>
      <c r="Q7" s="68"/>
      <c r="R7" s="68"/>
      <c r="S7" s="68"/>
      <c r="T7" s="68"/>
      <c r="U7" s="68"/>
      <c r="V7" s="68"/>
      <c r="W7" s="68"/>
      <c r="X7" s="218"/>
      <c r="Y7" s="111"/>
      <c r="Z7" s="218" t="s">
        <v>192</v>
      </c>
      <c r="AA7" s="220"/>
      <c r="AB7" s="220"/>
      <c r="AC7" s="8" t="s">
        <v>16</v>
      </c>
      <c r="AD7" s="342">
        <f t="shared" si="0"/>
        <v>6</v>
      </c>
      <c r="AE7" s="9"/>
      <c r="AF7" s="8">
        <v>6</v>
      </c>
      <c r="AG7" s="56"/>
      <c r="AH7" s="56"/>
      <c r="AI7" s="10">
        <v>470.86</v>
      </c>
      <c r="AJ7" s="85">
        <v>470.86</v>
      </c>
      <c r="AK7" s="10">
        <f t="shared" si="1"/>
        <v>78.476666666666674</v>
      </c>
      <c r="AL7" s="60"/>
      <c r="AM7" s="60"/>
      <c r="AN7" s="60"/>
      <c r="AO7" s="60"/>
      <c r="AP7" s="60"/>
      <c r="AQ7" s="9"/>
      <c r="AR7" s="79">
        <v>0</v>
      </c>
      <c r="AS7" s="81" t="e">
        <f t="shared" si="2"/>
        <v>#DIV/0!</v>
      </c>
      <c r="AT7" s="60"/>
      <c r="AU7" s="59" t="s">
        <v>626</v>
      </c>
      <c r="AV7" s="571" t="s">
        <v>121</v>
      </c>
      <c r="AW7" s="56"/>
      <c r="AX7" s="194">
        <v>40816</v>
      </c>
      <c r="AY7" s="574" t="s">
        <v>12</v>
      </c>
      <c r="AZ7" s="574" t="s">
        <v>237</v>
      </c>
      <c r="BA7" s="575"/>
      <c r="BB7" s="214">
        <v>40730</v>
      </c>
      <c r="BC7" s="101">
        <v>42317</v>
      </c>
      <c r="BD7" s="101"/>
      <c r="BE7" s="214"/>
      <c r="BF7" s="101"/>
      <c r="BG7" s="37"/>
      <c r="BH7" s="580"/>
      <c r="BI7" s="115"/>
      <c r="BJ7" s="115"/>
      <c r="BK7" s="198"/>
      <c r="BL7" s="198">
        <f t="shared" si="3"/>
        <v>731</v>
      </c>
      <c r="BM7" s="198">
        <f t="shared" si="4"/>
        <v>1096</v>
      </c>
      <c r="BN7" s="198"/>
      <c r="BO7" s="115"/>
      <c r="BP7" s="37"/>
      <c r="BQ7" s="115"/>
      <c r="BR7" s="105"/>
      <c r="BS7" s="105"/>
      <c r="BT7" s="105"/>
      <c r="BU7" s="165"/>
      <c r="BV7" s="330">
        <v>41264</v>
      </c>
      <c r="BW7" s="266"/>
      <c r="BX7" s="759"/>
      <c r="BY7" s="172" t="s">
        <v>172</v>
      </c>
      <c r="BZ7" s="266"/>
      <c r="CA7" s="441">
        <v>41176</v>
      </c>
      <c r="CB7" s="517"/>
      <c r="CC7" s="517"/>
      <c r="CD7" s="617"/>
      <c r="CE7" s="449">
        <v>40898</v>
      </c>
      <c r="CF7" s="442">
        <v>2011</v>
      </c>
      <c r="CG7" s="601">
        <f t="shared" si="5"/>
        <v>5.6</v>
      </c>
      <c r="CH7" s="133">
        <v>22</v>
      </c>
      <c r="CI7" s="133">
        <f t="shared" si="6"/>
        <v>23</v>
      </c>
      <c r="CJ7" s="133">
        <f t="shared" si="7"/>
        <v>22</v>
      </c>
      <c r="CK7" s="133">
        <f t="shared" si="8"/>
        <v>25</v>
      </c>
      <c r="CL7" s="133">
        <f t="shared" si="9"/>
        <v>0</v>
      </c>
      <c r="CM7" s="133">
        <f t="shared" si="10"/>
        <v>2</v>
      </c>
      <c r="CN7" s="243">
        <v>2502</v>
      </c>
      <c r="CO7" s="243">
        <f t="shared" si="11"/>
        <v>0</v>
      </c>
      <c r="CP7" s="134" t="s">
        <v>129</v>
      </c>
      <c r="CQ7" s="794">
        <f t="shared" si="12"/>
        <v>41568</v>
      </c>
      <c r="CR7" s="453">
        <v>41568</v>
      </c>
      <c r="CS7" s="794"/>
      <c r="CT7" s="134">
        <v>41611</v>
      </c>
      <c r="CU7" s="876">
        <f t="shared" si="49"/>
        <v>2.4472222222222224</v>
      </c>
      <c r="CV7" s="134"/>
      <c r="CW7" s="799">
        <v>41683</v>
      </c>
      <c r="CX7" s="804">
        <v>41683</v>
      </c>
      <c r="CY7" s="773">
        <v>2014</v>
      </c>
      <c r="CZ7" s="195"/>
      <c r="DA7" s="126"/>
      <c r="DB7" s="126"/>
      <c r="DC7" s="126"/>
      <c r="DD7" s="126"/>
      <c r="DE7" s="126"/>
      <c r="DF7" s="119"/>
      <c r="DG7" s="126">
        <f t="shared" si="13"/>
        <v>41933</v>
      </c>
      <c r="DH7" s="126" t="s">
        <v>309</v>
      </c>
      <c r="DI7" s="126" t="s">
        <v>129</v>
      </c>
      <c r="DJ7" s="126"/>
      <c r="DK7" s="126"/>
      <c r="DL7" s="126"/>
      <c r="DM7" s="126"/>
      <c r="DN7" s="118">
        <v>42121</v>
      </c>
      <c r="DO7" s="118"/>
      <c r="DP7" s="204"/>
      <c r="DQ7" s="204"/>
      <c r="DR7" s="126"/>
      <c r="DS7" s="126"/>
      <c r="DT7" s="126"/>
      <c r="DU7" s="126"/>
      <c r="DV7" s="126"/>
      <c r="DW7" s="691" t="str">
        <f t="shared" si="14"/>
        <v>0</v>
      </c>
      <c r="DX7" s="126"/>
      <c r="DY7" s="126"/>
      <c r="DZ7" s="691" t="str">
        <f t="shared" si="15"/>
        <v>0</v>
      </c>
      <c r="EA7" s="126"/>
      <c r="EB7" s="126"/>
      <c r="EC7" s="691" t="str">
        <f t="shared" si="16"/>
        <v>0</v>
      </c>
      <c r="ED7" s="126"/>
      <c r="EE7" s="126"/>
      <c r="EF7" s="691" t="str">
        <f t="shared" si="17"/>
        <v>0</v>
      </c>
      <c r="EG7" s="133"/>
      <c r="EH7" s="745"/>
      <c r="EI7" s="691" t="str">
        <f t="shared" si="18"/>
        <v>0</v>
      </c>
      <c r="EJ7" s="243"/>
      <c r="EK7" s="701"/>
      <c r="EL7" s="696"/>
      <c r="EM7" s="697" t="str">
        <f t="shared" si="19"/>
        <v>0</v>
      </c>
      <c r="EN7" s="701"/>
      <c r="EO7" s="696"/>
      <c r="EP7" s="697" t="str">
        <f t="shared" si="20"/>
        <v>0</v>
      </c>
      <c r="EQ7" s="701"/>
      <c r="ER7" s="696"/>
      <c r="ES7" s="697" t="str">
        <f t="shared" si="21"/>
        <v>0</v>
      </c>
      <c r="ET7" s="704"/>
      <c r="EU7" s="722"/>
      <c r="EV7" s="698" t="str">
        <f t="shared" si="22"/>
        <v>0</v>
      </c>
      <c r="EW7" s="699"/>
      <c r="EX7" s="700"/>
      <c r="EY7" s="697" t="str">
        <f t="shared" si="23"/>
        <v>0</v>
      </c>
      <c r="EZ7" s="701"/>
      <c r="FA7" s="701"/>
      <c r="FB7" s="697" t="str">
        <f t="shared" si="24"/>
        <v>0</v>
      </c>
      <c r="FC7" s="701"/>
      <c r="FD7" s="701"/>
      <c r="FE7" s="697" t="str">
        <f t="shared" si="25"/>
        <v>0</v>
      </c>
      <c r="FF7" s="701"/>
      <c r="FG7" s="701"/>
      <c r="FH7" s="697" t="str">
        <f t="shared" si="26"/>
        <v>0</v>
      </c>
      <c r="FI7" s="701"/>
      <c r="FJ7" s="701"/>
      <c r="FK7" s="697" t="str">
        <f t="shared" si="27"/>
        <v>0</v>
      </c>
      <c r="FL7" s="701"/>
      <c r="FM7" s="701"/>
      <c r="FN7" s="701"/>
      <c r="FO7" s="701"/>
      <c r="FP7" s="701"/>
      <c r="FQ7" s="699">
        <f t="shared" si="28"/>
        <v>0</v>
      </c>
      <c r="FR7" s="701"/>
      <c r="FS7" s="701"/>
      <c r="FT7" s="723"/>
      <c r="FU7" s="723"/>
      <c r="FV7" s="727"/>
      <c r="FW7" s="727"/>
      <c r="FX7" s="728">
        <f t="shared" si="29"/>
        <v>0</v>
      </c>
      <c r="FY7" s="728">
        <f t="shared" si="30"/>
        <v>0</v>
      </c>
      <c r="FZ7" s="724"/>
      <c r="GA7" s="741"/>
      <c r="GB7" s="724"/>
      <c r="GC7" s="724"/>
      <c r="GD7" s="583"/>
      <c r="GE7" s="514"/>
      <c r="GF7" s="11">
        <v>926283</v>
      </c>
      <c r="GG7" s="584">
        <f>GQ7+GV7+HC7+HV7+HD7+HG7</f>
        <v>926283</v>
      </c>
      <c r="GH7" s="13">
        <f t="shared" si="31"/>
        <v>0</v>
      </c>
      <c r="GI7" s="52">
        <f t="shared" si="50"/>
        <v>1967.2153081595377</v>
      </c>
      <c r="GJ7" s="52">
        <f t="shared" si="51"/>
        <v>154380.5</v>
      </c>
      <c r="GK7" s="11"/>
      <c r="GL7" s="12"/>
      <c r="GM7" s="13">
        <f t="shared" si="34"/>
        <v>0</v>
      </c>
      <c r="GN7" s="135">
        <f t="shared" si="35"/>
        <v>0</v>
      </c>
      <c r="GO7" s="136"/>
      <c r="GP7" s="11">
        <v>340124</v>
      </c>
      <c r="GQ7" s="16">
        <v>340124</v>
      </c>
      <c r="GR7" s="69"/>
      <c r="GS7" s="22">
        <f t="shared" si="36"/>
        <v>56687.333333333336</v>
      </c>
      <c r="GT7" s="38">
        <f t="shared" si="37"/>
        <v>0</v>
      </c>
      <c r="GU7" s="11">
        <v>486159</v>
      </c>
      <c r="GV7" s="12">
        <f t="shared" si="38"/>
        <v>486159</v>
      </c>
      <c r="GW7" s="14">
        <v>145848</v>
      </c>
      <c r="GX7" s="14">
        <v>340311</v>
      </c>
      <c r="GY7" s="38">
        <f t="shared" si="39"/>
        <v>0</v>
      </c>
      <c r="GZ7" s="888">
        <f t="shared" si="52"/>
        <v>81026.5</v>
      </c>
      <c r="HA7" s="12">
        <v>0</v>
      </c>
      <c r="HB7" s="586">
        <v>100000</v>
      </c>
      <c r="HC7" s="16">
        <v>100000</v>
      </c>
      <c r="HD7" s="69"/>
      <c r="HE7" s="41">
        <f t="shared" si="40"/>
        <v>0.10795836693537504</v>
      </c>
      <c r="HF7" s="326"/>
      <c r="HG7" s="16">
        <v>0</v>
      </c>
      <c r="HH7" s="23">
        <f t="shared" si="53"/>
        <v>0</v>
      </c>
      <c r="HI7" s="22">
        <f t="shared" si="41"/>
        <v>16666.666666666668</v>
      </c>
      <c r="HJ7" s="52">
        <f t="shared" si="42"/>
        <v>73354</v>
      </c>
      <c r="HK7" s="23">
        <f t="shared" si="43"/>
        <v>0</v>
      </c>
      <c r="HL7" s="51"/>
      <c r="HM7" s="51"/>
      <c r="HN7" s="40">
        <v>0</v>
      </c>
      <c r="HO7" s="40">
        <v>0</v>
      </c>
      <c r="HP7" s="22">
        <f t="shared" si="44"/>
        <v>73354</v>
      </c>
      <c r="HQ7" s="40">
        <v>0</v>
      </c>
      <c r="HR7" s="22">
        <f t="shared" si="45"/>
        <v>73354</v>
      </c>
      <c r="HS7" s="53">
        <f t="shared" si="46"/>
        <v>0.47515068289065004</v>
      </c>
      <c r="HT7" s="40"/>
      <c r="HU7" s="40"/>
      <c r="HV7" s="12">
        <v>0</v>
      </c>
      <c r="HW7" s="42">
        <f t="shared" si="47"/>
        <v>926283</v>
      </c>
      <c r="HX7" s="243"/>
      <c r="HY7" s="243">
        <f t="shared" si="48"/>
        <v>0</v>
      </c>
      <c r="HZ7" s="118"/>
      <c r="IA7" s="243"/>
      <c r="IB7" s="243"/>
      <c r="IC7" s="118"/>
      <c r="ID7" s="118"/>
      <c r="IE7" s="243"/>
      <c r="IF7" s="118"/>
      <c r="IG7" s="243"/>
      <c r="IH7" s="118"/>
      <c r="II7" s="243"/>
      <c r="IJ7" s="119"/>
      <c r="IK7" s="403"/>
      <c r="IL7" s="338"/>
      <c r="IM7" s="338"/>
      <c r="IN7" s="126"/>
      <c r="IO7" s="243"/>
      <c r="IP7" s="126"/>
      <c r="IQ7" s="243"/>
      <c r="IR7" s="404"/>
      <c r="IS7" s="404"/>
      <c r="IT7" s="404"/>
      <c r="IU7" s="404"/>
      <c r="IV7" s="286"/>
      <c r="IW7" s="286"/>
      <c r="IX7" s="286"/>
      <c r="IY7" s="286"/>
      <c r="IZ7" s="286"/>
      <c r="JA7" s="286"/>
      <c r="JB7" s="243"/>
      <c r="JC7" s="126"/>
      <c r="JD7" s="119"/>
      <c r="JE7" s="126"/>
      <c r="JF7" s="126"/>
      <c r="JG7" s="119"/>
    </row>
    <row r="8" spans="1:267" s="25" customFormat="1" ht="58.5" customHeight="1">
      <c r="A8" s="7" t="s">
        <v>111</v>
      </c>
      <c r="B8" s="8" t="s">
        <v>34</v>
      </c>
      <c r="C8" s="8" t="s">
        <v>114</v>
      </c>
      <c r="D8" s="8">
        <v>2011</v>
      </c>
      <c r="E8" s="8" t="s">
        <v>107</v>
      </c>
      <c r="F8" s="8"/>
      <c r="G8" s="8"/>
      <c r="H8" s="56" t="s">
        <v>260</v>
      </c>
      <c r="I8" s="56"/>
      <c r="J8" s="56"/>
      <c r="K8" s="502" t="s">
        <v>717</v>
      </c>
      <c r="L8" s="567"/>
      <c r="M8" s="567"/>
      <c r="N8" s="567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220"/>
      <c r="AB8" s="220"/>
      <c r="AC8" s="8" t="s">
        <v>16</v>
      </c>
      <c r="AD8" s="342">
        <f t="shared" si="0"/>
        <v>16</v>
      </c>
      <c r="AE8" s="9"/>
      <c r="AF8" s="8">
        <v>16</v>
      </c>
      <c r="AG8" s="56"/>
      <c r="AH8" s="56"/>
      <c r="AI8" s="10">
        <v>1432.77</v>
      </c>
      <c r="AJ8" s="85">
        <v>1432.77</v>
      </c>
      <c r="AK8" s="10">
        <f t="shared" si="1"/>
        <v>89.548124999999999</v>
      </c>
      <c r="AL8" s="60"/>
      <c r="AM8" s="60"/>
      <c r="AN8" s="60"/>
      <c r="AO8" s="60"/>
      <c r="AP8" s="60"/>
      <c r="AQ8" s="9"/>
      <c r="AR8" s="192"/>
      <c r="AS8" s="111"/>
      <c r="AT8" s="60">
        <v>2.5</v>
      </c>
      <c r="AU8" s="59" t="s">
        <v>626</v>
      </c>
      <c r="AV8" s="571" t="s">
        <v>121</v>
      </c>
      <c r="AW8" s="56"/>
      <c r="AX8" s="194">
        <v>40816</v>
      </c>
      <c r="AY8" s="574" t="s">
        <v>12</v>
      </c>
      <c r="AZ8" s="574" t="s">
        <v>229</v>
      </c>
      <c r="BA8" s="575"/>
      <c r="BB8" s="214">
        <v>40722</v>
      </c>
      <c r="BC8" s="101">
        <v>42291</v>
      </c>
      <c r="BD8" s="101"/>
      <c r="BE8" s="214"/>
      <c r="BF8" s="101"/>
      <c r="BG8" s="37"/>
      <c r="BH8" s="580"/>
      <c r="BI8" s="115"/>
      <c r="BJ8" s="115"/>
      <c r="BK8" s="198"/>
      <c r="BL8" s="198">
        <f t="shared" si="3"/>
        <v>731</v>
      </c>
      <c r="BM8" s="198">
        <f t="shared" si="4"/>
        <v>1096</v>
      </c>
      <c r="BN8" s="198"/>
      <c r="BO8" s="115"/>
      <c r="BP8" s="37"/>
      <c r="BQ8" s="115"/>
      <c r="BR8" s="105"/>
      <c r="BS8" s="105"/>
      <c r="BT8" s="105"/>
      <c r="BU8" s="165"/>
      <c r="BV8" s="330">
        <v>41266</v>
      </c>
      <c r="BW8" s="266"/>
      <c r="BX8" s="166"/>
      <c r="BY8" s="172" t="s">
        <v>172</v>
      </c>
      <c r="BZ8" s="266"/>
      <c r="CA8" s="441">
        <v>41137</v>
      </c>
      <c r="CB8" s="266">
        <v>41631</v>
      </c>
      <c r="CC8" s="780">
        <f>(CX8-CB8)/30</f>
        <v>2.1666666666666665</v>
      </c>
      <c r="CD8" s="617"/>
      <c r="CE8" s="449">
        <v>40940</v>
      </c>
      <c r="CF8" s="442">
        <v>2012</v>
      </c>
      <c r="CG8" s="601">
        <f t="shared" si="5"/>
        <v>7.2666666666666666</v>
      </c>
      <c r="CH8" s="133">
        <v>13</v>
      </c>
      <c r="CI8" s="133">
        <f t="shared" si="6"/>
        <v>14</v>
      </c>
      <c r="CJ8" s="133">
        <f t="shared" si="7"/>
        <v>24</v>
      </c>
      <c r="CK8" s="133">
        <f t="shared" si="8"/>
        <v>24</v>
      </c>
      <c r="CL8" s="133">
        <f t="shared" si="9"/>
        <v>11</v>
      </c>
      <c r="CM8" s="133">
        <f t="shared" si="10"/>
        <v>10</v>
      </c>
      <c r="CN8" s="243">
        <v>7110</v>
      </c>
      <c r="CO8" s="243">
        <f t="shared" si="11"/>
        <v>78210</v>
      </c>
      <c r="CP8" s="134" t="s">
        <v>129</v>
      </c>
      <c r="CQ8" s="794">
        <f t="shared" si="12"/>
        <v>41334</v>
      </c>
      <c r="CR8" s="453">
        <v>41688</v>
      </c>
      <c r="CS8" s="794"/>
      <c r="CT8" s="134">
        <v>41689</v>
      </c>
      <c r="CU8" s="876">
        <f t="shared" si="49"/>
        <v>2.6861111111111113</v>
      </c>
      <c r="CV8" s="134"/>
      <c r="CW8" s="786">
        <v>41696</v>
      </c>
      <c r="CX8" s="453">
        <v>41696</v>
      </c>
      <c r="CY8" s="773">
        <v>2014</v>
      </c>
      <c r="CZ8" s="134"/>
      <c r="DA8" s="126"/>
      <c r="DB8" s="126"/>
      <c r="DC8" s="126"/>
      <c r="DD8" s="126"/>
      <c r="DE8" s="126">
        <v>41787</v>
      </c>
      <c r="DF8" s="119"/>
      <c r="DG8" s="126">
        <f t="shared" si="13"/>
        <v>42053</v>
      </c>
      <c r="DH8" s="126" t="s">
        <v>129</v>
      </c>
      <c r="DI8" s="126"/>
      <c r="DJ8" s="126">
        <v>41919</v>
      </c>
      <c r="DK8" s="126">
        <v>41921</v>
      </c>
      <c r="DL8" s="126" t="s">
        <v>129</v>
      </c>
      <c r="DM8" s="126"/>
      <c r="DN8" s="118">
        <v>42290</v>
      </c>
      <c r="DO8" s="118"/>
      <c r="DP8" s="118"/>
      <c r="DQ8" s="118"/>
      <c r="DR8" s="204" t="s">
        <v>129</v>
      </c>
      <c r="DS8" s="204" t="s">
        <v>129</v>
      </c>
      <c r="DT8" s="126"/>
      <c r="DU8" s="126"/>
      <c r="DV8" s="126"/>
      <c r="DW8" s="691" t="str">
        <f t="shared" si="14"/>
        <v>0</v>
      </c>
      <c r="DX8" s="126"/>
      <c r="DY8" s="126"/>
      <c r="DZ8" s="691" t="str">
        <f t="shared" si="15"/>
        <v>0</v>
      </c>
      <c r="EA8" s="126"/>
      <c r="EB8" s="126"/>
      <c r="EC8" s="691" t="str">
        <f t="shared" si="16"/>
        <v>0</v>
      </c>
      <c r="ED8" s="126"/>
      <c r="EE8" s="126"/>
      <c r="EF8" s="691" t="str">
        <f t="shared" si="17"/>
        <v>0</v>
      </c>
      <c r="EG8" s="133"/>
      <c r="EH8" s="745"/>
      <c r="EI8" s="691" t="str">
        <f t="shared" si="18"/>
        <v>0</v>
      </c>
      <c r="EJ8" s="243"/>
      <c r="EK8" s="701"/>
      <c r="EL8" s="696"/>
      <c r="EM8" s="697" t="str">
        <f t="shared" si="19"/>
        <v>0</v>
      </c>
      <c r="EN8" s="701"/>
      <c r="EO8" s="696"/>
      <c r="EP8" s="697" t="str">
        <f t="shared" si="20"/>
        <v>0</v>
      </c>
      <c r="EQ8" s="701"/>
      <c r="ER8" s="696"/>
      <c r="ES8" s="697" t="str">
        <f t="shared" si="21"/>
        <v>0</v>
      </c>
      <c r="ET8" s="704"/>
      <c r="EU8" s="722"/>
      <c r="EV8" s="698" t="str">
        <f t="shared" si="22"/>
        <v>0</v>
      </c>
      <c r="EW8" s="699"/>
      <c r="EX8" s="700"/>
      <c r="EY8" s="697" t="str">
        <f t="shared" si="23"/>
        <v>0</v>
      </c>
      <c r="EZ8" s="701"/>
      <c r="FA8" s="701"/>
      <c r="FB8" s="697" t="str">
        <f t="shared" si="24"/>
        <v>0</v>
      </c>
      <c r="FC8" s="701"/>
      <c r="FD8" s="701"/>
      <c r="FE8" s="697" t="str">
        <f t="shared" si="25"/>
        <v>0</v>
      </c>
      <c r="FF8" s="701"/>
      <c r="FG8" s="701"/>
      <c r="FH8" s="697" t="str">
        <f t="shared" si="26"/>
        <v>0</v>
      </c>
      <c r="FI8" s="701"/>
      <c r="FJ8" s="701"/>
      <c r="FK8" s="697" t="str">
        <f t="shared" si="27"/>
        <v>0</v>
      </c>
      <c r="FL8" s="701"/>
      <c r="FM8" s="701"/>
      <c r="FN8" s="701"/>
      <c r="FO8" s="701"/>
      <c r="FP8" s="701"/>
      <c r="FQ8" s="699">
        <f t="shared" si="28"/>
        <v>0</v>
      </c>
      <c r="FR8" s="701"/>
      <c r="FS8" s="701"/>
      <c r="FT8" s="723"/>
      <c r="FU8" s="723"/>
      <c r="FV8" s="727"/>
      <c r="FW8" s="727"/>
      <c r="FX8" s="728">
        <f t="shared" si="29"/>
        <v>0</v>
      </c>
      <c r="FY8" s="728">
        <f t="shared" si="30"/>
        <v>0</v>
      </c>
      <c r="FZ8" s="724"/>
      <c r="GA8" s="741"/>
      <c r="GB8" s="724"/>
      <c r="GC8" s="724"/>
      <c r="GD8" s="583"/>
      <c r="GE8" s="514"/>
      <c r="GF8" s="11">
        <v>2817333</v>
      </c>
      <c r="GG8" s="584">
        <f>GQ8+GV8+HC8+HV8+HD8+HG8</f>
        <v>2817333</v>
      </c>
      <c r="GH8" s="13">
        <f t="shared" si="31"/>
        <v>0</v>
      </c>
      <c r="GI8" s="52">
        <f t="shared" si="50"/>
        <v>1966.3539856362152</v>
      </c>
      <c r="GJ8" s="52">
        <f t="shared" si="51"/>
        <v>176083.3125</v>
      </c>
      <c r="GK8" s="11"/>
      <c r="GL8" s="12"/>
      <c r="GM8" s="13">
        <f t="shared" si="34"/>
        <v>0</v>
      </c>
      <c r="GN8" s="135">
        <f t="shared" si="35"/>
        <v>0</v>
      </c>
      <c r="GO8" s="136"/>
      <c r="GP8" s="11">
        <v>853424</v>
      </c>
      <c r="GQ8" s="16">
        <v>853424</v>
      </c>
      <c r="GR8" s="69"/>
      <c r="GS8" s="22">
        <f t="shared" si="36"/>
        <v>53339</v>
      </c>
      <c r="GT8" s="38">
        <f t="shared" si="37"/>
        <v>0</v>
      </c>
      <c r="GU8" s="11">
        <v>1530227</v>
      </c>
      <c r="GV8" s="12">
        <f t="shared" si="38"/>
        <v>1530227</v>
      </c>
      <c r="GW8" s="14">
        <v>304961</v>
      </c>
      <c r="GX8" s="14">
        <v>1225266</v>
      </c>
      <c r="GY8" s="38">
        <f t="shared" si="39"/>
        <v>0</v>
      </c>
      <c r="GZ8" s="888">
        <f t="shared" si="52"/>
        <v>95639.1875</v>
      </c>
      <c r="HA8" s="12">
        <v>0</v>
      </c>
      <c r="HB8" s="586">
        <f>380000+41063</f>
        <v>421063</v>
      </c>
      <c r="HC8" s="16">
        <v>380000</v>
      </c>
      <c r="HD8" s="69"/>
      <c r="HE8" s="41">
        <f t="shared" si="40"/>
        <v>0.13487933446277028</v>
      </c>
      <c r="HF8" s="326"/>
      <c r="HG8" s="16">
        <v>53682</v>
      </c>
      <c r="HH8" s="23">
        <f t="shared" si="53"/>
        <v>-41063</v>
      </c>
      <c r="HI8" s="22">
        <f t="shared" si="41"/>
        <v>23750</v>
      </c>
      <c r="HJ8" s="52">
        <f t="shared" si="42"/>
        <v>77089</v>
      </c>
      <c r="HK8" s="23">
        <f t="shared" si="43"/>
        <v>-2566.4375</v>
      </c>
      <c r="HL8" s="51"/>
      <c r="HM8" s="51"/>
      <c r="HN8" s="40">
        <v>0</v>
      </c>
      <c r="HO8" s="40">
        <v>0</v>
      </c>
      <c r="HP8" s="22">
        <f t="shared" si="44"/>
        <v>77089</v>
      </c>
      <c r="HQ8" s="40">
        <v>0</v>
      </c>
      <c r="HR8" s="22">
        <f t="shared" si="45"/>
        <v>77089</v>
      </c>
      <c r="HS8" s="53">
        <f t="shared" si="46"/>
        <v>0.46171877778297693</v>
      </c>
      <c r="HT8" s="40">
        <v>145958</v>
      </c>
      <c r="HU8" s="40"/>
      <c r="HV8" s="12">
        <v>0</v>
      </c>
      <c r="HW8" s="42">
        <f t="shared" si="47"/>
        <v>2817333</v>
      </c>
      <c r="HX8" s="243"/>
      <c r="HY8" s="243">
        <f t="shared" si="48"/>
        <v>0</v>
      </c>
      <c r="HZ8" s="118"/>
      <c r="IA8" s="243"/>
      <c r="IB8" s="243"/>
      <c r="IC8" s="118"/>
      <c r="ID8" s="118"/>
      <c r="IE8" s="243"/>
      <c r="IF8" s="118"/>
      <c r="IG8" s="243"/>
      <c r="IH8" s="118"/>
      <c r="II8" s="243"/>
      <c r="IJ8" s="119"/>
      <c r="IK8" s="403"/>
      <c r="IL8" s="338"/>
      <c r="IM8" s="338"/>
      <c r="IN8" s="126"/>
      <c r="IO8" s="243"/>
      <c r="IP8" s="126"/>
      <c r="IQ8" s="243"/>
      <c r="IR8" s="404"/>
      <c r="IS8" s="404"/>
      <c r="IT8" s="404"/>
      <c r="IU8" s="404"/>
      <c r="IV8" s="286"/>
      <c r="IW8" s="286"/>
      <c r="IX8" s="286"/>
      <c r="IY8" s="286"/>
      <c r="IZ8" s="286"/>
      <c r="JA8" s="286"/>
      <c r="JB8" s="243"/>
      <c r="JC8" s="126"/>
      <c r="JD8" s="119"/>
      <c r="JE8" s="126"/>
      <c r="JF8" s="126"/>
      <c r="JG8" s="119"/>
    </row>
    <row r="9" spans="1:267" ht="55.5" customHeight="1">
      <c r="A9" s="7" t="s">
        <v>110</v>
      </c>
      <c r="B9" s="8" t="s">
        <v>34</v>
      </c>
      <c r="C9" s="8" t="s">
        <v>114</v>
      </c>
      <c r="D9" s="8">
        <v>2011</v>
      </c>
      <c r="E9" s="8" t="s">
        <v>107</v>
      </c>
      <c r="F9" s="8"/>
      <c r="G9" s="8"/>
      <c r="H9" s="56"/>
      <c r="I9" s="56"/>
      <c r="J9" s="56"/>
      <c r="K9" s="502" t="s">
        <v>717</v>
      </c>
      <c r="L9" s="567"/>
      <c r="M9" s="567"/>
      <c r="N9" s="567"/>
      <c r="O9" s="217">
        <v>8131</v>
      </c>
      <c r="P9" s="217">
        <v>227747.25</v>
      </c>
      <c r="Q9" s="217">
        <v>178042</v>
      </c>
      <c r="R9" s="217" t="e">
        <f>P9/(AD9+#REF!)</f>
        <v>#REF!</v>
      </c>
      <c r="S9" s="217">
        <f t="shared" ref="S9:S15" si="54">P9/O9</f>
        <v>28.009746648628706</v>
      </c>
      <c r="T9" s="217">
        <f t="shared" ref="T9:T15" si="55">Q9/O9</f>
        <v>21.896691673840856</v>
      </c>
      <c r="U9" s="217" t="e">
        <f>Q9/(AJ9+#REF!)</f>
        <v>#REF!</v>
      </c>
      <c r="V9" s="217" t="e">
        <f>Q9/(AD9+#REF!)</f>
        <v>#REF!</v>
      </c>
      <c r="W9" s="217" t="e">
        <f>O9/(AD9+#REF!)</f>
        <v>#REF!</v>
      </c>
      <c r="X9" s="218">
        <v>1079</v>
      </c>
      <c r="Y9" s="219" t="e">
        <f>(AJ9+#REF!)/O9</f>
        <v>#REF!</v>
      </c>
      <c r="Z9" s="218" t="s">
        <v>210</v>
      </c>
      <c r="AA9" s="220"/>
      <c r="AB9" s="220"/>
      <c r="AC9" s="8" t="s">
        <v>15</v>
      </c>
      <c r="AD9" s="342">
        <f t="shared" si="0"/>
        <v>4</v>
      </c>
      <c r="AE9" s="8">
        <v>4</v>
      </c>
      <c r="AF9" s="570"/>
      <c r="AG9" s="510"/>
      <c r="AH9" s="510"/>
      <c r="AI9" s="10">
        <v>317.76</v>
      </c>
      <c r="AJ9" s="85">
        <v>317.76</v>
      </c>
      <c r="AK9" s="10">
        <f t="shared" si="1"/>
        <v>79.44</v>
      </c>
      <c r="AL9" s="60"/>
      <c r="AM9" s="60"/>
      <c r="AN9" s="60"/>
      <c r="AO9" s="60"/>
      <c r="AP9" s="60"/>
      <c r="AQ9" s="10">
        <f>830+889+461</f>
        <v>2180</v>
      </c>
      <c r="AR9" s="79">
        <v>850</v>
      </c>
      <c r="AS9" s="81">
        <f t="shared" ref="AS9:AS15" si="56">AR9/O9</f>
        <v>0.10453818718484811</v>
      </c>
      <c r="AT9" s="60">
        <v>2.5</v>
      </c>
      <c r="AU9" s="59" t="s">
        <v>626</v>
      </c>
      <c r="AV9" s="571" t="s">
        <v>121</v>
      </c>
      <c r="AW9" s="56"/>
      <c r="AX9" s="194">
        <v>40816</v>
      </c>
      <c r="AY9" s="201" t="s">
        <v>12</v>
      </c>
      <c r="AZ9" s="201" t="s">
        <v>229</v>
      </c>
      <c r="BA9" s="575"/>
      <c r="BB9" s="214">
        <v>40730</v>
      </c>
      <c r="BC9" s="101">
        <v>42291</v>
      </c>
      <c r="BD9" s="101"/>
      <c r="BE9" s="214"/>
      <c r="BF9" s="101"/>
      <c r="BG9" s="37"/>
      <c r="BH9" s="580"/>
      <c r="BI9" s="115"/>
      <c r="BJ9" s="115"/>
      <c r="BK9" s="198"/>
      <c r="BL9" s="198">
        <f t="shared" si="3"/>
        <v>731</v>
      </c>
      <c r="BM9" s="198">
        <f t="shared" si="4"/>
        <v>1096</v>
      </c>
      <c r="BN9" s="198"/>
      <c r="BO9" s="115"/>
      <c r="BP9" s="37"/>
      <c r="BQ9" s="115"/>
      <c r="BR9" s="105"/>
      <c r="BS9" s="105"/>
      <c r="BT9" s="105"/>
      <c r="BU9" s="165" t="s">
        <v>72</v>
      </c>
      <c r="BV9" s="330">
        <v>41266</v>
      </c>
      <c r="BW9" s="266"/>
      <c r="BX9" s="166"/>
      <c r="BY9" s="172" t="s">
        <v>172</v>
      </c>
      <c r="BZ9" s="266"/>
      <c r="CA9" s="441">
        <v>41137</v>
      </c>
      <c r="CB9" s="517"/>
      <c r="CC9" s="517"/>
      <c r="CD9" s="617"/>
      <c r="CE9" s="449">
        <v>40940</v>
      </c>
      <c r="CF9" s="442">
        <v>2012</v>
      </c>
      <c r="CG9" s="601">
        <f t="shared" si="5"/>
        <v>7</v>
      </c>
      <c r="CH9" s="133">
        <v>13</v>
      </c>
      <c r="CI9" s="133">
        <f t="shared" si="6"/>
        <v>14</v>
      </c>
      <c r="CJ9" s="133">
        <f t="shared" si="7"/>
        <v>24</v>
      </c>
      <c r="CK9" s="133">
        <f t="shared" si="8"/>
        <v>24</v>
      </c>
      <c r="CL9" s="133">
        <f t="shared" si="9"/>
        <v>11</v>
      </c>
      <c r="CM9" s="133">
        <f t="shared" si="10"/>
        <v>10</v>
      </c>
      <c r="CN9" s="243">
        <v>2035</v>
      </c>
      <c r="CO9" s="243">
        <f t="shared" si="11"/>
        <v>22385</v>
      </c>
      <c r="CP9" s="134" t="s">
        <v>129</v>
      </c>
      <c r="CQ9" s="794">
        <f t="shared" si="12"/>
        <v>41334</v>
      </c>
      <c r="CR9" s="453">
        <v>41688</v>
      </c>
      <c r="CS9" s="794"/>
      <c r="CT9" s="134">
        <v>41689</v>
      </c>
      <c r="CU9" s="876">
        <f t="shared" si="49"/>
        <v>2.6638888888888888</v>
      </c>
      <c r="CV9" s="134"/>
      <c r="CW9" s="786">
        <v>41696</v>
      </c>
      <c r="CX9" s="453">
        <v>41696</v>
      </c>
      <c r="CY9" s="773">
        <v>2014</v>
      </c>
      <c r="CZ9" s="134"/>
      <c r="DA9" s="126"/>
      <c r="DB9" s="126"/>
      <c r="DC9" s="126"/>
      <c r="DD9" s="126"/>
      <c r="DE9" s="126">
        <v>41787</v>
      </c>
      <c r="DF9" s="119"/>
      <c r="DG9" s="126">
        <f t="shared" si="13"/>
        <v>42053</v>
      </c>
      <c r="DH9" s="126" t="s">
        <v>129</v>
      </c>
      <c r="DI9" s="126"/>
      <c r="DJ9" s="126">
        <v>41919</v>
      </c>
      <c r="DK9" s="126">
        <v>41921</v>
      </c>
      <c r="DL9" s="126" t="s">
        <v>129</v>
      </c>
      <c r="DM9" s="126"/>
      <c r="DN9" s="118">
        <v>42290</v>
      </c>
      <c r="DO9" s="118"/>
      <c r="DP9" s="118"/>
      <c r="DQ9" s="118"/>
      <c r="DR9" s="126"/>
      <c r="DS9" s="126"/>
      <c r="DT9" s="126"/>
      <c r="DU9" s="126"/>
      <c r="DV9" s="126"/>
      <c r="DW9" s="691" t="str">
        <f t="shared" si="14"/>
        <v>0</v>
      </c>
      <c r="DX9" s="126"/>
      <c r="DY9" s="126"/>
      <c r="DZ9" s="691" t="str">
        <f t="shared" si="15"/>
        <v>0</v>
      </c>
      <c r="EA9" s="126"/>
      <c r="EB9" s="126"/>
      <c r="EC9" s="691" t="str">
        <f t="shared" si="16"/>
        <v>0</v>
      </c>
      <c r="ED9" s="126"/>
      <c r="EE9" s="126"/>
      <c r="EF9" s="691" t="str">
        <f t="shared" si="17"/>
        <v>0</v>
      </c>
      <c r="EG9" s="133"/>
      <c r="EH9" s="745"/>
      <c r="EI9" s="691" t="str">
        <f t="shared" si="18"/>
        <v>0</v>
      </c>
      <c r="EJ9" s="243"/>
      <c r="EK9" s="701"/>
      <c r="EL9" s="696"/>
      <c r="EM9" s="697" t="str">
        <f t="shared" si="19"/>
        <v>0</v>
      </c>
      <c r="EN9" s="701"/>
      <c r="EO9" s="696"/>
      <c r="EP9" s="697" t="str">
        <f t="shared" si="20"/>
        <v>0</v>
      </c>
      <c r="EQ9" s="701"/>
      <c r="ER9" s="696"/>
      <c r="ES9" s="697" t="str">
        <f t="shared" si="21"/>
        <v>0</v>
      </c>
      <c r="ET9" s="704"/>
      <c r="EU9" s="722"/>
      <c r="EV9" s="698" t="str">
        <f t="shared" si="22"/>
        <v>0</v>
      </c>
      <c r="EW9" s="699"/>
      <c r="EX9" s="700"/>
      <c r="EY9" s="697" t="str">
        <f t="shared" si="23"/>
        <v>0</v>
      </c>
      <c r="EZ9" s="701"/>
      <c r="FA9" s="701"/>
      <c r="FB9" s="697" t="str">
        <f t="shared" si="24"/>
        <v>0</v>
      </c>
      <c r="FC9" s="701"/>
      <c r="FD9" s="701"/>
      <c r="FE9" s="697" t="str">
        <f t="shared" si="25"/>
        <v>0</v>
      </c>
      <c r="FF9" s="701"/>
      <c r="FG9" s="701"/>
      <c r="FH9" s="697" t="str">
        <f t="shared" si="26"/>
        <v>0</v>
      </c>
      <c r="FI9" s="701"/>
      <c r="FJ9" s="701"/>
      <c r="FK9" s="697" t="str">
        <f t="shared" si="27"/>
        <v>0</v>
      </c>
      <c r="FL9" s="701"/>
      <c r="FM9" s="701"/>
      <c r="FN9" s="701"/>
      <c r="FO9" s="701"/>
      <c r="FP9" s="701"/>
      <c r="FQ9" s="699">
        <f t="shared" si="28"/>
        <v>0</v>
      </c>
      <c r="FR9" s="701"/>
      <c r="FS9" s="701">
        <f t="shared" ref="FS9:FS15" si="57">CX9</f>
        <v>41696</v>
      </c>
      <c r="FT9" s="723"/>
      <c r="FU9" s="723"/>
      <c r="FV9" s="727"/>
      <c r="FW9" s="727"/>
      <c r="FX9" s="728">
        <f t="shared" si="29"/>
        <v>0</v>
      </c>
      <c r="FY9" s="728">
        <f t="shared" si="30"/>
        <v>1389.8666666666666</v>
      </c>
      <c r="FZ9" s="729"/>
      <c r="GA9" s="755"/>
      <c r="GB9" s="729"/>
      <c r="GC9" s="729"/>
      <c r="GD9" s="583"/>
      <c r="GE9" s="514"/>
      <c r="GF9" s="11">
        <v>642137</v>
      </c>
      <c r="GG9" s="584">
        <f>GQ9+GV9+HC9+HV9+HA9+HG9</f>
        <v>642137</v>
      </c>
      <c r="GH9" s="13">
        <f t="shared" si="31"/>
        <v>0</v>
      </c>
      <c r="GI9" s="52">
        <f t="shared" si="50"/>
        <v>2020.8238922457201</v>
      </c>
      <c r="GJ9" s="52">
        <f t="shared" si="51"/>
        <v>160534.25</v>
      </c>
      <c r="GK9" s="11"/>
      <c r="GL9" s="12"/>
      <c r="GM9" s="13">
        <f t="shared" si="34"/>
        <v>0</v>
      </c>
      <c r="GN9" s="135">
        <f t="shared" si="35"/>
        <v>0</v>
      </c>
      <c r="GO9" s="136"/>
      <c r="GP9" s="11">
        <v>75000</v>
      </c>
      <c r="GQ9" s="16">
        <v>75000</v>
      </c>
      <c r="GR9" s="69"/>
      <c r="GS9" s="22">
        <f t="shared" si="36"/>
        <v>18750</v>
      </c>
      <c r="GT9" s="38">
        <f t="shared" si="37"/>
        <v>0</v>
      </c>
      <c r="GU9" s="11">
        <v>335412</v>
      </c>
      <c r="GV9" s="12">
        <f t="shared" si="38"/>
        <v>335412</v>
      </c>
      <c r="GW9" s="14">
        <v>85556</v>
      </c>
      <c r="GX9" s="14">
        <v>249856</v>
      </c>
      <c r="GY9" s="38">
        <f t="shared" si="39"/>
        <v>0</v>
      </c>
      <c r="GZ9" s="888">
        <f t="shared" si="52"/>
        <v>83853</v>
      </c>
      <c r="HA9" s="12">
        <v>100000</v>
      </c>
      <c r="HB9" s="586">
        <f>HC9</f>
        <v>119398</v>
      </c>
      <c r="HC9" s="16">
        <v>119398</v>
      </c>
      <c r="HD9" s="69"/>
      <c r="HE9" s="41">
        <f t="shared" si="40"/>
        <v>0.18593851467833189</v>
      </c>
      <c r="HF9" s="326"/>
      <c r="HG9" s="16">
        <v>12327</v>
      </c>
      <c r="HH9" s="23">
        <f t="shared" si="53"/>
        <v>0</v>
      </c>
      <c r="HI9" s="22">
        <f t="shared" si="41"/>
        <v>29849.5</v>
      </c>
      <c r="HJ9" s="52">
        <f t="shared" si="42"/>
        <v>48599.5</v>
      </c>
      <c r="HK9" s="23">
        <f t="shared" si="43"/>
        <v>0</v>
      </c>
      <c r="HL9" s="51"/>
      <c r="HM9" s="51"/>
      <c r="HN9" s="40">
        <v>1087937.9071325003</v>
      </c>
      <c r="HO9" s="40">
        <v>400000</v>
      </c>
      <c r="HP9" s="22">
        <f t="shared" si="44"/>
        <v>148599.5</v>
      </c>
      <c r="HQ9" s="40">
        <v>474274.71</v>
      </c>
      <c r="HR9" s="22">
        <f t="shared" si="45"/>
        <v>267168.17749999999</v>
      </c>
      <c r="HS9" s="53">
        <f t="shared" si="46"/>
        <v>0.62937481320481981</v>
      </c>
      <c r="HT9" s="40">
        <v>32084</v>
      </c>
      <c r="HU9" s="40"/>
      <c r="HV9" s="12">
        <v>0</v>
      </c>
      <c r="HW9" s="42">
        <f t="shared" si="47"/>
        <v>1730074.9071325003</v>
      </c>
      <c r="HX9" s="243"/>
      <c r="HY9" s="243">
        <f t="shared" si="48"/>
        <v>0</v>
      </c>
      <c r="HZ9" s="118"/>
      <c r="IA9" s="243"/>
      <c r="IB9" s="243"/>
      <c r="IC9" s="118"/>
      <c r="ID9" s="118"/>
      <c r="IE9" s="243"/>
      <c r="IF9" s="118"/>
      <c r="IG9" s="243"/>
      <c r="IH9" s="118"/>
      <c r="II9" s="243"/>
      <c r="IJ9" s="119"/>
      <c r="IK9" s="403"/>
      <c r="IL9" s="338"/>
      <c r="IM9" s="338"/>
      <c r="IN9" s="126"/>
      <c r="IO9" s="243"/>
      <c r="IP9" s="126"/>
      <c r="IQ9" s="243"/>
      <c r="IR9" s="404"/>
      <c r="IS9" s="404"/>
      <c r="IT9" s="404"/>
      <c r="IU9" s="404"/>
      <c r="IV9" s="286"/>
      <c r="IW9" s="286"/>
      <c r="IX9" s="250"/>
      <c r="IY9" s="243"/>
      <c r="IZ9" s="250"/>
      <c r="JA9" s="243"/>
      <c r="JB9" s="243"/>
      <c r="JC9" s="126"/>
      <c r="JD9" s="119"/>
      <c r="JE9" s="126"/>
      <c r="JF9" s="126"/>
      <c r="JG9" s="119"/>
    </row>
    <row r="10" spans="1:267" ht="35.1" customHeight="1">
      <c r="A10" s="7" t="s">
        <v>102</v>
      </c>
      <c r="B10" s="8" t="s">
        <v>34</v>
      </c>
      <c r="C10" s="8" t="s">
        <v>114</v>
      </c>
      <c r="D10" s="8">
        <v>2011</v>
      </c>
      <c r="E10" s="8" t="s">
        <v>105</v>
      </c>
      <c r="F10" s="8" t="s">
        <v>58</v>
      </c>
      <c r="G10" s="8" t="s">
        <v>184</v>
      </c>
      <c r="H10" s="8" t="s">
        <v>260</v>
      </c>
      <c r="I10" s="56"/>
      <c r="J10" s="56"/>
      <c r="K10" s="272"/>
      <c r="L10" s="567"/>
      <c r="M10" s="567"/>
      <c r="N10" s="567"/>
      <c r="O10" s="217">
        <f>2009+396</f>
        <v>2405</v>
      </c>
      <c r="P10" s="217">
        <v>133800</v>
      </c>
      <c r="Q10" s="217">
        <v>120788</v>
      </c>
      <c r="R10" s="217">
        <f>P10/AD10</f>
        <v>9557.1428571428569</v>
      </c>
      <c r="S10" s="217">
        <f t="shared" si="54"/>
        <v>55.634095634095637</v>
      </c>
      <c r="T10" s="217">
        <f t="shared" si="55"/>
        <v>50.223700623700623</v>
      </c>
      <c r="U10" s="217">
        <f>Q10/AJ10</f>
        <v>115.00004760408635</v>
      </c>
      <c r="V10" s="217">
        <f>Q10/AD10</f>
        <v>8627.7142857142862</v>
      </c>
      <c r="W10" s="217">
        <f>O10/AD10</f>
        <v>171.78571428571428</v>
      </c>
      <c r="X10" s="218"/>
      <c r="Y10" s="219">
        <f>AJ10/O10</f>
        <v>0.43672765072765068</v>
      </c>
      <c r="Z10" s="218" t="s">
        <v>210</v>
      </c>
      <c r="AA10" s="220"/>
      <c r="AB10" s="220"/>
      <c r="AC10" s="8" t="s">
        <v>16</v>
      </c>
      <c r="AD10" s="342">
        <f t="shared" si="0"/>
        <v>14</v>
      </c>
      <c r="AE10" s="570"/>
      <c r="AF10" s="8">
        <v>14</v>
      </c>
      <c r="AG10" s="56"/>
      <c r="AH10" s="56"/>
      <c r="AI10" s="10">
        <v>1050.33</v>
      </c>
      <c r="AJ10" s="85">
        <v>1050.33</v>
      </c>
      <c r="AK10" s="10">
        <f t="shared" si="1"/>
        <v>75.023571428571429</v>
      </c>
      <c r="AL10" s="60"/>
      <c r="AM10" s="60"/>
      <c r="AN10" s="60"/>
      <c r="AO10" s="60"/>
      <c r="AP10" s="60"/>
      <c r="AQ10" s="10">
        <v>600</v>
      </c>
      <c r="AR10" s="110" t="s">
        <v>337</v>
      </c>
      <c r="AS10" s="81" t="e">
        <f t="shared" si="56"/>
        <v>#VALUE!</v>
      </c>
      <c r="AT10" s="60">
        <v>2</v>
      </c>
      <c r="AU10" s="59" t="s">
        <v>626</v>
      </c>
      <c r="AV10" s="571" t="s">
        <v>121</v>
      </c>
      <c r="AW10" s="56"/>
      <c r="AX10" s="194">
        <v>40816</v>
      </c>
      <c r="AY10" s="574" t="s">
        <v>172</v>
      </c>
      <c r="AZ10" s="574" t="s">
        <v>172</v>
      </c>
      <c r="BA10" s="575"/>
      <c r="BB10" s="214">
        <v>40884</v>
      </c>
      <c r="BC10" s="101"/>
      <c r="BD10" s="101"/>
      <c r="BE10" s="214"/>
      <c r="BF10" s="101"/>
      <c r="BG10" s="37"/>
      <c r="BH10" s="580"/>
      <c r="BI10" s="115"/>
      <c r="BJ10" s="115"/>
      <c r="BK10" s="198"/>
      <c r="BL10" s="198">
        <f t="shared" si="3"/>
        <v>731</v>
      </c>
      <c r="BM10" s="198">
        <f t="shared" si="4"/>
        <v>1096</v>
      </c>
      <c r="BN10" s="198"/>
      <c r="BO10" s="115"/>
      <c r="BP10" s="37"/>
      <c r="BQ10" s="115"/>
      <c r="BR10" s="105"/>
      <c r="BS10" s="105"/>
      <c r="BT10" s="103"/>
      <c r="BU10" s="165"/>
      <c r="BV10" s="330" t="s">
        <v>172</v>
      </c>
      <c r="BW10" s="266"/>
      <c r="BX10" s="166" t="s">
        <v>172</v>
      </c>
      <c r="BY10" s="172" t="s">
        <v>172</v>
      </c>
      <c r="BZ10" s="266"/>
      <c r="CA10" s="266"/>
      <c r="CB10" s="266" t="s">
        <v>172</v>
      </c>
      <c r="CC10" s="781"/>
      <c r="CD10" s="617"/>
      <c r="CE10" s="449">
        <v>40970</v>
      </c>
      <c r="CF10" s="442">
        <v>2012</v>
      </c>
      <c r="CG10" s="601">
        <f t="shared" si="5"/>
        <v>2.8666666666666667</v>
      </c>
      <c r="CH10" s="133">
        <v>12</v>
      </c>
      <c r="CI10" s="133">
        <f t="shared" si="6"/>
        <v>13</v>
      </c>
      <c r="CJ10" s="133">
        <f t="shared" si="7"/>
        <v>20</v>
      </c>
      <c r="CK10" s="133">
        <f t="shared" si="8"/>
        <v>26</v>
      </c>
      <c r="CL10" s="133">
        <f t="shared" si="9"/>
        <v>8</v>
      </c>
      <c r="CM10" s="133">
        <f t="shared" si="10"/>
        <v>13</v>
      </c>
      <c r="CN10" s="243">
        <v>5964</v>
      </c>
      <c r="CO10" s="243">
        <f t="shared" si="11"/>
        <v>47712</v>
      </c>
      <c r="CP10" s="134" t="s">
        <v>129</v>
      </c>
      <c r="CQ10" s="794">
        <f t="shared" si="12"/>
        <v>41335</v>
      </c>
      <c r="CR10" s="453">
        <v>41583</v>
      </c>
      <c r="CS10" s="794"/>
      <c r="CT10" s="134">
        <v>41627</v>
      </c>
      <c r="CU10" s="876">
        <f t="shared" si="49"/>
        <v>2.0638888888888887</v>
      </c>
      <c r="CV10" s="134"/>
      <c r="CW10" s="786">
        <v>41774</v>
      </c>
      <c r="CX10" s="453">
        <v>41774</v>
      </c>
      <c r="CY10" s="773">
        <v>2014</v>
      </c>
      <c r="CZ10" s="134"/>
      <c r="DA10" s="126"/>
      <c r="DB10" s="126"/>
      <c r="DC10" s="126"/>
      <c r="DD10" s="126"/>
      <c r="DE10" s="126">
        <v>41661</v>
      </c>
      <c r="DF10" s="119" t="s">
        <v>129</v>
      </c>
      <c r="DG10" s="126">
        <f t="shared" si="13"/>
        <v>41948</v>
      </c>
      <c r="DH10" s="126" t="s">
        <v>129</v>
      </c>
      <c r="DI10" s="126"/>
      <c r="DJ10" s="126">
        <v>41919</v>
      </c>
      <c r="DK10" s="126">
        <v>41925</v>
      </c>
      <c r="DL10" s="126"/>
      <c r="DM10" s="126"/>
      <c r="DN10" s="126" t="s">
        <v>172</v>
      </c>
      <c r="DO10" s="126"/>
      <c r="DP10" s="126"/>
      <c r="DQ10" s="126"/>
      <c r="DR10" s="126"/>
      <c r="DS10" s="126"/>
      <c r="DT10" s="126"/>
      <c r="DU10" s="126"/>
      <c r="DV10" s="126"/>
      <c r="DW10" s="691" t="str">
        <f t="shared" si="14"/>
        <v>0</v>
      </c>
      <c r="DX10" s="126"/>
      <c r="DY10" s="126"/>
      <c r="DZ10" s="691" t="str">
        <f t="shared" si="15"/>
        <v>0</v>
      </c>
      <c r="EA10" s="126"/>
      <c r="EB10" s="126"/>
      <c r="EC10" s="691" t="str">
        <f t="shared" si="16"/>
        <v>0</v>
      </c>
      <c r="ED10" s="126"/>
      <c r="EE10" s="126"/>
      <c r="EF10" s="691" t="str">
        <f t="shared" si="17"/>
        <v>0</v>
      </c>
      <c r="EG10" s="133"/>
      <c r="EH10" s="745"/>
      <c r="EI10" s="691" t="str">
        <f t="shared" si="18"/>
        <v>0</v>
      </c>
      <c r="EJ10" s="243"/>
      <c r="EK10" s="701"/>
      <c r="EL10" s="696"/>
      <c r="EM10" s="697" t="str">
        <f t="shared" si="19"/>
        <v>0</v>
      </c>
      <c r="EN10" s="701"/>
      <c r="EO10" s="696"/>
      <c r="EP10" s="697" t="str">
        <f t="shared" si="20"/>
        <v>0</v>
      </c>
      <c r="EQ10" s="701"/>
      <c r="ER10" s="696"/>
      <c r="ES10" s="697" t="str">
        <f t="shared" si="21"/>
        <v>0</v>
      </c>
      <c r="ET10" s="704"/>
      <c r="EU10" s="722"/>
      <c r="EV10" s="698" t="str">
        <f t="shared" si="22"/>
        <v>0</v>
      </c>
      <c r="EW10" s="699"/>
      <c r="EX10" s="700">
        <f ca="1">IF(EW10&lt;TODAY(),TODAY(),EW10)</f>
        <v>43188</v>
      </c>
      <c r="EY10" s="697" t="str">
        <f t="shared" ca="1" si="23"/>
        <v>0</v>
      </c>
      <c r="EZ10" s="696"/>
      <c r="FA10" s="701"/>
      <c r="FB10" s="697" t="str">
        <f t="shared" si="24"/>
        <v>0</v>
      </c>
      <c r="FC10" s="705"/>
      <c r="FD10" s="705"/>
      <c r="FE10" s="697" t="str">
        <f t="shared" si="25"/>
        <v>0</v>
      </c>
      <c r="FF10" s="705"/>
      <c r="FG10" s="703"/>
      <c r="FH10" s="697" t="str">
        <f t="shared" si="26"/>
        <v>0</v>
      </c>
      <c r="FI10" s="701"/>
      <c r="FJ10" s="701"/>
      <c r="FK10" s="697" t="str">
        <f t="shared" si="27"/>
        <v>0</v>
      </c>
      <c r="FL10" s="703"/>
      <c r="FM10" s="703"/>
      <c r="FN10" s="703"/>
      <c r="FO10" s="703"/>
      <c r="FP10" s="701"/>
      <c r="FQ10" s="699">
        <f t="shared" si="28"/>
        <v>0</v>
      </c>
      <c r="FR10" s="703"/>
      <c r="FS10" s="701">
        <f t="shared" si="57"/>
        <v>41774</v>
      </c>
      <c r="FT10" s="723"/>
      <c r="FU10" s="723"/>
      <c r="FV10" s="727"/>
      <c r="FW10" s="727"/>
      <c r="FX10" s="728">
        <f t="shared" si="29"/>
        <v>0</v>
      </c>
      <c r="FY10" s="728">
        <f t="shared" si="30"/>
        <v>1392.4666666666667</v>
      </c>
      <c r="FZ10" s="724"/>
      <c r="GA10" s="741" t="s">
        <v>880</v>
      </c>
      <c r="GB10" s="724"/>
      <c r="GC10" s="724"/>
      <c r="GD10" s="583"/>
      <c r="GE10" s="514"/>
      <c r="GF10" s="11">
        <v>2230353.88</v>
      </c>
      <c r="GG10" s="584">
        <f>GQ10+GV10+HC10+HV10+HA10+HG10+HD10</f>
        <v>2230353.88</v>
      </c>
      <c r="GH10" s="13">
        <f t="shared" si="31"/>
        <v>0</v>
      </c>
      <c r="GI10" s="52">
        <f t="shared" si="50"/>
        <v>2123.4791732122285</v>
      </c>
      <c r="GJ10" s="52">
        <f t="shared" si="51"/>
        <v>159310.99142857143</v>
      </c>
      <c r="GK10" s="782"/>
      <c r="GL10" s="12">
        <v>0</v>
      </c>
      <c r="GM10" s="13">
        <f t="shared" si="34"/>
        <v>0</v>
      </c>
      <c r="GN10" s="135">
        <f t="shared" si="35"/>
        <v>0</v>
      </c>
      <c r="GO10" s="136"/>
      <c r="GP10" s="586">
        <v>0</v>
      </c>
      <c r="GQ10" s="16">
        <v>0</v>
      </c>
      <c r="GR10" s="69"/>
      <c r="GS10" s="22">
        <f t="shared" si="36"/>
        <v>0</v>
      </c>
      <c r="GT10" s="38">
        <f t="shared" si="37"/>
        <v>0</v>
      </c>
      <c r="GU10" s="11">
        <v>1285412</v>
      </c>
      <c r="GV10" s="12">
        <f t="shared" si="38"/>
        <v>1285412</v>
      </c>
      <c r="GW10" s="14">
        <v>305730</v>
      </c>
      <c r="GX10" s="14">
        <v>979682</v>
      </c>
      <c r="GY10" s="38">
        <f t="shared" si="39"/>
        <v>0</v>
      </c>
      <c r="GZ10" s="888">
        <f t="shared" si="52"/>
        <v>91815.142857142855</v>
      </c>
      <c r="HA10" s="12"/>
      <c r="HB10" s="586">
        <f>HC10</f>
        <v>620464</v>
      </c>
      <c r="HC10" s="16">
        <v>620464</v>
      </c>
      <c r="HD10" s="69">
        <v>70000</v>
      </c>
      <c r="HE10" s="41">
        <f t="shared" si="40"/>
        <v>0.27819083131328021</v>
      </c>
      <c r="HF10" s="326"/>
      <c r="HG10" s="16">
        <v>1120</v>
      </c>
      <c r="HH10" s="23">
        <f t="shared" si="53"/>
        <v>0</v>
      </c>
      <c r="HI10" s="22">
        <f t="shared" si="41"/>
        <v>44318.857142857145</v>
      </c>
      <c r="HJ10" s="52">
        <f t="shared" si="42"/>
        <v>44318.857142857145</v>
      </c>
      <c r="HK10" s="23">
        <f t="shared" si="43"/>
        <v>0</v>
      </c>
      <c r="HL10" s="51"/>
      <c r="HM10" s="51"/>
      <c r="HN10" s="40">
        <v>715424.22886499984</v>
      </c>
      <c r="HO10" s="40">
        <v>280000</v>
      </c>
      <c r="HP10" s="22">
        <f t="shared" si="44"/>
        <v>64318.857142857145</v>
      </c>
      <c r="HQ10" s="40">
        <v>259894.04</v>
      </c>
      <c r="HR10" s="22">
        <f t="shared" si="45"/>
        <v>82882.717142857146</v>
      </c>
      <c r="HS10" s="53">
        <f t="shared" si="46"/>
        <v>0.41111677977683803</v>
      </c>
      <c r="HT10" s="40">
        <v>123324.49695</v>
      </c>
      <c r="HU10" s="40"/>
      <c r="HV10" s="12">
        <v>253357.88</v>
      </c>
      <c r="HW10" s="42">
        <f t="shared" si="47"/>
        <v>2945778.1088649998</v>
      </c>
      <c r="HX10" s="243"/>
      <c r="HY10" s="243">
        <f t="shared" si="48"/>
        <v>0</v>
      </c>
      <c r="HZ10" s="118"/>
      <c r="IA10" s="243"/>
      <c r="IB10" s="243"/>
      <c r="IC10" s="118"/>
      <c r="ID10" s="118"/>
      <c r="IE10" s="243"/>
      <c r="IF10" s="118"/>
      <c r="IG10" s="243"/>
      <c r="IH10" s="118"/>
      <c r="II10" s="243"/>
      <c r="IJ10" s="119"/>
      <c r="IK10" s="403"/>
      <c r="IL10" s="338"/>
      <c r="IM10" s="338"/>
      <c r="IN10" s="126"/>
      <c r="IO10" s="243"/>
      <c r="IP10" s="126"/>
      <c r="IQ10" s="243"/>
      <c r="IR10" s="404"/>
      <c r="IS10" s="404"/>
      <c r="IT10" s="404"/>
      <c r="IU10" s="404"/>
      <c r="IV10" s="286"/>
      <c r="IW10" s="286"/>
      <c r="IX10" s="286"/>
      <c r="IY10" s="286"/>
      <c r="IZ10" s="286"/>
      <c r="JA10" s="286"/>
      <c r="JB10" s="243"/>
      <c r="JC10" s="126"/>
      <c r="JD10" s="119"/>
      <c r="JE10" s="126"/>
      <c r="JF10" s="126"/>
      <c r="JG10" s="119"/>
    </row>
    <row r="11" spans="1:267" ht="57" customHeight="1">
      <c r="A11" s="24" t="s">
        <v>77</v>
      </c>
      <c r="B11" s="8" t="s">
        <v>82</v>
      </c>
      <c r="C11" s="8" t="s">
        <v>115</v>
      </c>
      <c r="D11" s="8">
        <v>2012</v>
      </c>
      <c r="E11" s="8" t="s">
        <v>84</v>
      </c>
      <c r="F11" s="8" t="s">
        <v>58</v>
      </c>
      <c r="G11" s="8" t="s">
        <v>461</v>
      </c>
      <c r="H11" s="8" t="s">
        <v>260</v>
      </c>
      <c r="I11" s="56"/>
      <c r="J11" s="56"/>
      <c r="K11" s="272"/>
      <c r="L11" s="163"/>
      <c r="M11" s="163"/>
      <c r="N11" s="163"/>
      <c r="O11" s="217">
        <v>606</v>
      </c>
      <c r="P11" s="217">
        <v>89040</v>
      </c>
      <c r="Q11" s="217">
        <v>51520</v>
      </c>
      <c r="R11" s="217">
        <f>P11/AD11</f>
        <v>12720</v>
      </c>
      <c r="S11" s="217">
        <f t="shared" si="54"/>
        <v>146.93069306930693</v>
      </c>
      <c r="T11" s="217">
        <f t="shared" si="55"/>
        <v>85.016501650165011</v>
      </c>
      <c r="U11" s="217">
        <f>Q11/AJ11</f>
        <v>96.464949071300168</v>
      </c>
      <c r="V11" s="217">
        <f>Q11/AD11</f>
        <v>7360</v>
      </c>
      <c r="W11" s="217">
        <f>O11/AD11</f>
        <v>86.571428571428569</v>
      </c>
      <c r="X11" s="218">
        <v>300</v>
      </c>
      <c r="Y11" s="219">
        <f>AJ11/O11</f>
        <v>0.88132013201320136</v>
      </c>
      <c r="Z11" s="218" t="s">
        <v>210</v>
      </c>
      <c r="AA11" s="220"/>
      <c r="AB11" s="220"/>
      <c r="AC11" s="8" t="s">
        <v>16</v>
      </c>
      <c r="AD11" s="342">
        <f t="shared" si="0"/>
        <v>7</v>
      </c>
      <c r="AE11" s="9"/>
      <c r="AF11" s="8">
        <v>7</v>
      </c>
      <c r="AG11" s="56"/>
      <c r="AH11" s="56"/>
      <c r="AI11" s="10">
        <v>534.08000000000004</v>
      </c>
      <c r="AJ11" s="85">
        <v>534.08000000000004</v>
      </c>
      <c r="AK11" s="10">
        <f t="shared" si="1"/>
        <v>76.297142857142859</v>
      </c>
      <c r="AL11" s="81"/>
      <c r="AM11" s="81">
        <v>0.28999999999999998</v>
      </c>
      <c r="AN11" s="81">
        <v>0.56999999999999995</v>
      </c>
      <c r="AO11" s="81">
        <v>0.14000000000000001</v>
      </c>
      <c r="AP11" s="81"/>
      <c r="AQ11" s="10">
        <v>217.58</v>
      </c>
      <c r="AR11" s="110">
        <v>238</v>
      </c>
      <c r="AS11" s="81">
        <f t="shared" si="56"/>
        <v>0.39273927392739272</v>
      </c>
      <c r="AT11" s="60">
        <v>2</v>
      </c>
      <c r="AU11" s="59" t="s">
        <v>626</v>
      </c>
      <c r="AV11" s="10"/>
      <c r="AW11" s="56"/>
      <c r="AX11" s="194">
        <v>40963</v>
      </c>
      <c r="AY11" s="574" t="s">
        <v>11</v>
      </c>
      <c r="AZ11" s="574" t="s">
        <v>233</v>
      </c>
      <c r="BA11" s="2"/>
      <c r="BB11" s="214">
        <v>41171</v>
      </c>
      <c r="BC11" s="101"/>
      <c r="BD11" s="101"/>
      <c r="BE11" s="214">
        <v>41225</v>
      </c>
      <c r="BF11" s="101"/>
      <c r="BG11" s="579"/>
      <c r="BH11" s="211"/>
      <c r="BI11" s="104"/>
      <c r="BJ11" s="104"/>
      <c r="BK11" s="318"/>
      <c r="BL11" s="319">
        <f t="shared" si="3"/>
        <v>731</v>
      </c>
      <c r="BM11" s="319">
        <f t="shared" si="4"/>
        <v>1096</v>
      </c>
      <c r="BN11" s="319" t="str">
        <f>IF(CX11&lt;$BL$11,"oui","non")</f>
        <v>non</v>
      </c>
      <c r="BO11" s="104"/>
      <c r="BP11" s="579"/>
      <c r="BQ11" s="104"/>
      <c r="BR11" s="116"/>
      <c r="BS11" s="116"/>
      <c r="BT11" s="116"/>
      <c r="BU11" s="165" t="s">
        <v>72</v>
      </c>
      <c r="BV11" s="330">
        <v>41255</v>
      </c>
      <c r="BW11" s="266"/>
      <c r="BX11" s="166">
        <v>1051215.9099999999</v>
      </c>
      <c r="BY11" s="172">
        <f t="shared" ref="BY11:BY19" si="58">DATE(YEAR(BV11),MONTH(BV11)+18,DAY(BV11))</f>
        <v>41802</v>
      </c>
      <c r="BZ11" s="266"/>
      <c r="CA11" s="441">
        <v>41612</v>
      </c>
      <c r="CB11" s="266">
        <v>41835</v>
      </c>
      <c r="CC11" s="780">
        <f>(CX11-CB11)/30</f>
        <v>1.9666666666666666</v>
      </c>
      <c r="CD11" s="617"/>
      <c r="CE11" s="450">
        <v>41400</v>
      </c>
      <c r="CF11" s="442">
        <v>2013</v>
      </c>
      <c r="CG11" s="601">
        <f t="shared" si="5"/>
        <v>7.6333333333333337</v>
      </c>
      <c r="CH11" s="133">
        <v>10</v>
      </c>
      <c r="CI11" s="133">
        <f t="shared" si="6"/>
        <v>11</v>
      </c>
      <c r="CJ11" s="121">
        <f t="shared" si="7"/>
        <v>14</v>
      </c>
      <c r="CK11" s="121">
        <f t="shared" si="8"/>
        <v>16</v>
      </c>
      <c r="CL11" s="121">
        <f t="shared" si="9"/>
        <v>4</v>
      </c>
      <c r="CM11" s="121">
        <f t="shared" si="10"/>
        <v>5</v>
      </c>
      <c r="CN11" s="244">
        <f>33787/12</f>
        <v>2815.5833333333335</v>
      </c>
      <c r="CO11" s="244">
        <f t="shared" si="11"/>
        <v>11262.333333333334</v>
      </c>
      <c r="CP11" s="120" t="s">
        <v>129</v>
      </c>
      <c r="CQ11" s="620">
        <f t="shared" si="12"/>
        <v>41704</v>
      </c>
      <c r="CR11" s="453">
        <v>41831</v>
      </c>
      <c r="CS11" s="794"/>
      <c r="CT11" s="134">
        <v>41883</v>
      </c>
      <c r="CU11" s="876">
        <f t="shared" si="49"/>
        <v>1.9777777777777779</v>
      </c>
      <c r="CV11" s="134"/>
      <c r="CW11" s="772">
        <v>41894</v>
      </c>
      <c r="CX11" s="450">
        <v>41894</v>
      </c>
      <c r="CY11" s="773">
        <v>2014</v>
      </c>
      <c r="CZ11" s="134"/>
      <c r="DA11" s="126"/>
      <c r="DB11" s="126"/>
      <c r="DC11" s="126"/>
      <c r="DD11" s="126"/>
      <c r="DE11" s="204" t="s">
        <v>129</v>
      </c>
      <c r="DF11" s="126">
        <v>42082</v>
      </c>
      <c r="DG11" s="126">
        <f t="shared" si="13"/>
        <v>42196</v>
      </c>
      <c r="DH11" s="126">
        <v>41915</v>
      </c>
      <c r="DI11" s="126">
        <v>41918</v>
      </c>
      <c r="DJ11" s="126" t="s">
        <v>129</v>
      </c>
      <c r="DK11" s="126">
        <v>42346</v>
      </c>
      <c r="DL11" s="126" t="s">
        <v>129</v>
      </c>
      <c r="DM11" s="126" t="s">
        <v>129</v>
      </c>
      <c r="DN11" s="126"/>
      <c r="DO11" s="118">
        <v>42851</v>
      </c>
      <c r="DP11" s="204" t="s">
        <v>129</v>
      </c>
      <c r="DQ11" s="125"/>
      <c r="DR11" s="204" t="s">
        <v>129</v>
      </c>
      <c r="DS11" s="204" t="s">
        <v>129</v>
      </c>
      <c r="DT11" s="126"/>
      <c r="DU11" s="119"/>
      <c r="DV11" s="119"/>
      <c r="DW11" s="691" t="str">
        <f t="shared" si="14"/>
        <v>0</v>
      </c>
      <c r="DX11" s="126"/>
      <c r="DY11" s="126"/>
      <c r="DZ11" s="691" t="str">
        <f t="shared" si="15"/>
        <v>0</v>
      </c>
      <c r="EA11" s="133"/>
      <c r="EB11" s="126"/>
      <c r="EC11" s="691" t="str">
        <f t="shared" si="16"/>
        <v>0</v>
      </c>
      <c r="ED11" s="133"/>
      <c r="EE11" s="126"/>
      <c r="EF11" s="691" t="str">
        <f t="shared" si="17"/>
        <v>0</v>
      </c>
      <c r="EG11" s="133"/>
      <c r="EH11" s="745"/>
      <c r="EI11" s="691" t="str">
        <f t="shared" si="18"/>
        <v>0</v>
      </c>
      <c r="EJ11" s="243"/>
      <c r="EK11" s="701"/>
      <c r="EL11" s="696"/>
      <c r="EM11" s="697" t="str">
        <f t="shared" si="19"/>
        <v>0</v>
      </c>
      <c r="EN11" s="701"/>
      <c r="EO11" s="696"/>
      <c r="EP11" s="697" t="str">
        <f t="shared" si="20"/>
        <v>0</v>
      </c>
      <c r="EQ11" s="701"/>
      <c r="ER11" s="696"/>
      <c r="ES11" s="697" t="str">
        <f t="shared" si="21"/>
        <v>0</v>
      </c>
      <c r="ET11" s="704"/>
      <c r="EU11" s="722"/>
      <c r="EV11" s="698" t="str">
        <f t="shared" si="22"/>
        <v>0</v>
      </c>
      <c r="EW11" s="699"/>
      <c r="EX11" s="700"/>
      <c r="EY11" s="697" t="str">
        <f t="shared" si="23"/>
        <v>0</v>
      </c>
      <c r="EZ11" s="696"/>
      <c r="FA11" s="701"/>
      <c r="FB11" s="697" t="str">
        <f t="shared" si="24"/>
        <v>0</v>
      </c>
      <c r="FC11" s="705"/>
      <c r="FD11" s="705"/>
      <c r="FE11" s="697" t="str">
        <f t="shared" si="25"/>
        <v>0</v>
      </c>
      <c r="FF11" s="705"/>
      <c r="FG11" s="703"/>
      <c r="FH11" s="697" t="str">
        <f t="shared" si="26"/>
        <v>0</v>
      </c>
      <c r="FI11" s="701"/>
      <c r="FJ11" s="696"/>
      <c r="FK11" s="697" t="str">
        <f t="shared" si="27"/>
        <v>0</v>
      </c>
      <c r="FL11" s="696"/>
      <c r="FM11" s="696"/>
      <c r="FN11" s="696"/>
      <c r="FO11" s="696"/>
      <c r="FP11" s="701"/>
      <c r="FQ11" s="699">
        <f t="shared" si="28"/>
        <v>0</v>
      </c>
      <c r="FR11" s="696"/>
      <c r="FS11" s="701">
        <f t="shared" si="57"/>
        <v>41894</v>
      </c>
      <c r="FT11" s="727"/>
      <c r="FU11" s="727"/>
      <c r="FV11" s="727"/>
      <c r="FW11" s="727"/>
      <c r="FX11" s="728">
        <f t="shared" si="29"/>
        <v>0</v>
      </c>
      <c r="FY11" s="728">
        <f t="shared" si="30"/>
        <v>1396.4666666666667</v>
      </c>
      <c r="FZ11" s="729"/>
      <c r="GA11" s="755"/>
      <c r="GB11" s="729"/>
      <c r="GC11" s="729"/>
      <c r="GD11" s="164"/>
      <c r="GE11" s="754"/>
      <c r="GF11" s="11">
        <v>1127563</v>
      </c>
      <c r="GG11" s="584">
        <f>GQ11+GV11+HC11+HV11+HA11+HG11</f>
        <v>1127563</v>
      </c>
      <c r="GH11" s="13">
        <f t="shared" si="31"/>
        <v>0</v>
      </c>
      <c r="GI11" s="52">
        <f t="shared" si="50"/>
        <v>2111.2249101258235</v>
      </c>
      <c r="GJ11" s="52">
        <f t="shared" si="51"/>
        <v>161080.42857142858</v>
      </c>
      <c r="GK11" s="11">
        <v>970725</v>
      </c>
      <c r="GL11" s="12"/>
      <c r="GM11" s="13">
        <f t="shared" si="34"/>
        <v>-970725</v>
      </c>
      <c r="GN11" s="135">
        <f t="shared" si="35"/>
        <v>0.87898434499890454</v>
      </c>
      <c r="GO11" s="136"/>
      <c r="GP11" s="11">
        <v>294297</v>
      </c>
      <c r="GQ11" s="12">
        <v>294297</v>
      </c>
      <c r="GR11" s="70"/>
      <c r="GS11" s="22">
        <f t="shared" si="36"/>
        <v>42042.428571428572</v>
      </c>
      <c r="GT11" s="38">
        <f t="shared" si="37"/>
        <v>0</v>
      </c>
      <c r="GU11" s="11">
        <v>604971</v>
      </c>
      <c r="GV11" s="12">
        <f t="shared" si="38"/>
        <v>604971</v>
      </c>
      <c r="GW11" s="14">
        <v>112853</v>
      </c>
      <c r="GX11" s="14">
        <v>492118</v>
      </c>
      <c r="GY11" s="38">
        <f t="shared" si="39"/>
        <v>0</v>
      </c>
      <c r="GZ11" s="888">
        <f t="shared" si="52"/>
        <v>86424.428571428565</v>
      </c>
      <c r="HA11" s="12">
        <v>0</v>
      </c>
      <c r="HB11" s="11">
        <v>177688</v>
      </c>
      <c r="HC11" s="16">
        <v>177688</v>
      </c>
      <c r="HD11" s="69"/>
      <c r="HE11" s="41">
        <f t="shared" si="40"/>
        <v>0.15758587325054121</v>
      </c>
      <c r="HF11" s="326"/>
      <c r="HG11" s="16">
        <v>0</v>
      </c>
      <c r="HH11" s="23">
        <f t="shared" si="53"/>
        <v>0</v>
      </c>
      <c r="HI11" s="22">
        <f t="shared" si="41"/>
        <v>25384</v>
      </c>
      <c r="HJ11" s="52">
        <f t="shared" si="42"/>
        <v>67426.428571428565</v>
      </c>
      <c r="HK11" s="23">
        <f t="shared" si="43"/>
        <v>0</v>
      </c>
      <c r="HL11" s="51"/>
      <c r="HM11" s="51"/>
      <c r="HN11" s="40">
        <v>176884.08837750001</v>
      </c>
      <c r="HO11" s="40">
        <v>119543.69426743503</v>
      </c>
      <c r="HP11" s="22">
        <f t="shared" si="44"/>
        <v>84504.099181062149</v>
      </c>
      <c r="HQ11" s="40">
        <v>0</v>
      </c>
      <c r="HR11" s="22">
        <f t="shared" si="45"/>
        <v>84504.099181062149</v>
      </c>
      <c r="HS11" s="53">
        <f t="shared" si="46"/>
        <v>0.47252544420817433</v>
      </c>
      <c r="HT11" s="40">
        <v>52601.919999999998</v>
      </c>
      <c r="HU11" s="40"/>
      <c r="HV11" s="590">
        <v>50607</v>
      </c>
      <c r="HW11" s="42">
        <f t="shared" si="47"/>
        <v>1304447.0883775</v>
      </c>
      <c r="HX11" s="243"/>
      <c r="HY11" s="243">
        <f t="shared" si="48"/>
        <v>0</v>
      </c>
      <c r="HZ11" s="118"/>
      <c r="IA11" s="243"/>
      <c r="IB11" s="243"/>
      <c r="IC11" s="118"/>
      <c r="ID11" s="118"/>
      <c r="IE11" s="243"/>
      <c r="IF11" s="118"/>
      <c r="IG11" s="243"/>
      <c r="IH11" s="118"/>
      <c r="II11" s="243"/>
      <c r="IJ11" s="119"/>
      <c r="IK11" s="403"/>
      <c r="IL11" s="338"/>
      <c r="IM11" s="338"/>
      <c r="IN11" s="126"/>
      <c r="IO11" s="243"/>
      <c r="IP11" s="126"/>
      <c r="IQ11" s="243"/>
      <c r="IR11" s="404"/>
      <c r="IS11" s="404"/>
      <c r="IT11" s="404"/>
      <c r="IU11" s="404"/>
      <c r="IV11" s="286"/>
      <c r="IW11" s="286"/>
      <c r="IX11" s="126"/>
      <c r="IY11" s="243"/>
      <c r="IZ11" s="126"/>
      <c r="JA11" s="243"/>
      <c r="JB11" s="243"/>
      <c r="JC11" s="126"/>
      <c r="JD11" s="119"/>
      <c r="JE11" s="126"/>
      <c r="JF11" s="126"/>
      <c r="JG11" s="119"/>
    </row>
    <row r="12" spans="1:267" ht="24.95" customHeight="1">
      <c r="A12" s="24" t="s">
        <v>76</v>
      </c>
      <c r="B12" s="8" t="s">
        <v>40</v>
      </c>
      <c r="C12" s="8" t="s">
        <v>115</v>
      </c>
      <c r="D12" s="8">
        <v>2012</v>
      </c>
      <c r="E12" s="8" t="s">
        <v>83</v>
      </c>
      <c r="F12" s="8" t="s">
        <v>30</v>
      </c>
      <c r="G12" s="8" t="s">
        <v>292</v>
      </c>
      <c r="H12" s="8" t="s">
        <v>260</v>
      </c>
      <c r="I12" s="56" t="s">
        <v>121</v>
      </c>
      <c r="J12" s="56"/>
      <c r="K12" s="272"/>
      <c r="L12" s="163"/>
      <c r="M12" s="163"/>
      <c r="N12" s="163"/>
      <c r="O12" s="217">
        <v>2671</v>
      </c>
      <c r="P12" s="217">
        <v>176000</v>
      </c>
      <c r="Q12" s="217">
        <v>110833</v>
      </c>
      <c r="R12" s="217">
        <f>P12/AD12</f>
        <v>12571.428571428571</v>
      </c>
      <c r="S12" s="217">
        <f t="shared" si="54"/>
        <v>65.89292399850244</v>
      </c>
      <c r="T12" s="217">
        <f t="shared" si="55"/>
        <v>41.494945713216026</v>
      </c>
      <c r="U12" s="217">
        <f>Q12/AJ12</f>
        <v>99.936881779573142</v>
      </c>
      <c r="V12" s="217">
        <f>Q12/AD12</f>
        <v>7916.6428571428569</v>
      </c>
      <c r="W12" s="217">
        <f>O12/AD12</f>
        <v>190.78571428571428</v>
      </c>
      <c r="X12" s="218">
        <v>748.11</v>
      </c>
      <c r="Y12" s="219">
        <f>AJ12/O12</f>
        <v>0.41521153126169974</v>
      </c>
      <c r="Z12" s="218" t="s">
        <v>210</v>
      </c>
      <c r="AA12" s="220"/>
      <c r="AB12" s="220"/>
      <c r="AC12" s="8" t="s">
        <v>16</v>
      </c>
      <c r="AD12" s="342">
        <f t="shared" si="0"/>
        <v>14</v>
      </c>
      <c r="AE12" s="9"/>
      <c r="AF12" s="8">
        <v>14</v>
      </c>
      <c r="AG12" s="56"/>
      <c r="AH12" s="56"/>
      <c r="AI12" s="10">
        <v>1109.03</v>
      </c>
      <c r="AJ12" s="85">
        <v>1109.03</v>
      </c>
      <c r="AK12" s="10">
        <f t="shared" si="1"/>
        <v>79.216428571428565</v>
      </c>
      <c r="AL12" s="81">
        <f>3/AD12</f>
        <v>0.21428571428571427</v>
      </c>
      <c r="AM12" s="81">
        <f>3/AD12</f>
        <v>0.21428571428571427</v>
      </c>
      <c r="AN12" s="81">
        <f>6/AD12</f>
        <v>0.42857142857142855</v>
      </c>
      <c r="AO12" s="81">
        <f>1/AD12</f>
        <v>7.1428571428571425E-2</v>
      </c>
      <c r="AP12" s="81">
        <f>1/AD12</f>
        <v>7.1428571428571425E-2</v>
      </c>
      <c r="AQ12" s="10">
        <v>1000</v>
      </c>
      <c r="AR12" s="79"/>
      <c r="AS12" s="81">
        <f t="shared" si="56"/>
        <v>0</v>
      </c>
      <c r="AT12" s="60">
        <v>3</v>
      </c>
      <c r="AU12" s="59" t="s">
        <v>626</v>
      </c>
      <c r="AV12" s="10"/>
      <c r="AW12" s="194"/>
      <c r="AX12" s="194">
        <v>40963</v>
      </c>
      <c r="AY12" s="574" t="s">
        <v>11</v>
      </c>
      <c r="AZ12" s="574" t="s">
        <v>233</v>
      </c>
      <c r="BA12" s="2"/>
      <c r="BB12" s="214">
        <v>41170</v>
      </c>
      <c r="BC12" s="101"/>
      <c r="BD12" s="101"/>
      <c r="BE12" s="214">
        <v>41248</v>
      </c>
      <c r="BF12" s="101"/>
      <c r="BG12" s="579"/>
      <c r="BH12" s="211"/>
      <c r="BI12" s="104"/>
      <c r="BJ12" s="104"/>
      <c r="BK12" s="318"/>
      <c r="BL12" s="319">
        <f t="shared" si="3"/>
        <v>731</v>
      </c>
      <c r="BM12" s="319">
        <f t="shared" si="4"/>
        <v>1096</v>
      </c>
      <c r="BN12" s="319" t="str">
        <f>IF(CX12&lt;$BL$11,"oui","non")</f>
        <v>non</v>
      </c>
      <c r="BO12" s="104"/>
      <c r="BP12" s="579"/>
      <c r="BQ12" s="104"/>
      <c r="BR12" s="116"/>
      <c r="BS12" s="116"/>
      <c r="BT12" s="116"/>
      <c r="BU12" s="165" t="s">
        <v>72</v>
      </c>
      <c r="BV12" s="330">
        <v>41255</v>
      </c>
      <c r="BW12" s="266"/>
      <c r="BX12" s="166">
        <v>2312263.67</v>
      </c>
      <c r="BY12" s="172">
        <f t="shared" si="58"/>
        <v>41802</v>
      </c>
      <c r="BZ12" s="266"/>
      <c r="CA12" s="441">
        <v>41467</v>
      </c>
      <c r="CB12" s="266">
        <v>41897</v>
      </c>
      <c r="CC12" s="780">
        <f>(CX12-CB12)/30</f>
        <v>1.6666666666666667</v>
      </c>
      <c r="CD12" s="617"/>
      <c r="CE12" s="450">
        <v>41309</v>
      </c>
      <c r="CF12" s="442">
        <v>2013</v>
      </c>
      <c r="CG12" s="601">
        <f t="shared" si="5"/>
        <v>4.6333333333333337</v>
      </c>
      <c r="CH12" s="121">
        <v>13</v>
      </c>
      <c r="CI12" s="121">
        <f t="shared" si="6"/>
        <v>14</v>
      </c>
      <c r="CJ12" s="121">
        <f t="shared" si="7"/>
        <v>20</v>
      </c>
      <c r="CK12" s="121">
        <f t="shared" si="8"/>
        <v>21</v>
      </c>
      <c r="CL12" s="121">
        <f t="shared" si="9"/>
        <v>7</v>
      </c>
      <c r="CM12" s="121">
        <f t="shared" si="10"/>
        <v>7</v>
      </c>
      <c r="CN12" s="244">
        <f>69329.9630502528/12</f>
        <v>5777.4969208543998</v>
      </c>
      <c r="CO12" s="244">
        <f t="shared" si="11"/>
        <v>40442.4784459808</v>
      </c>
      <c r="CP12" s="120" t="s">
        <v>129</v>
      </c>
      <c r="CQ12" s="620">
        <f t="shared" si="12"/>
        <v>41702</v>
      </c>
      <c r="CR12" s="450">
        <v>41943</v>
      </c>
      <c r="CS12" s="620"/>
      <c r="CT12" s="120">
        <v>41983</v>
      </c>
      <c r="CU12" s="877">
        <f t="shared" si="49"/>
        <v>2.2583333333333333</v>
      </c>
      <c r="CV12" s="120"/>
      <c r="CW12" s="772">
        <v>41949</v>
      </c>
      <c r="CX12" s="450">
        <v>41947</v>
      </c>
      <c r="CY12" s="773">
        <v>2014</v>
      </c>
      <c r="CZ12" s="120"/>
      <c r="DA12" s="126"/>
      <c r="DB12" s="126"/>
      <c r="DC12" s="126"/>
      <c r="DD12" s="126"/>
      <c r="DE12" s="126" t="s">
        <v>129</v>
      </c>
      <c r="DF12" s="119"/>
      <c r="DG12" s="126" t="s">
        <v>175</v>
      </c>
      <c r="DH12" s="204">
        <v>41969</v>
      </c>
      <c r="DI12" s="204">
        <v>41984</v>
      </c>
      <c r="DJ12" s="204">
        <v>42324</v>
      </c>
      <c r="DK12" s="204">
        <v>42324</v>
      </c>
      <c r="DL12" s="126" t="s">
        <v>172</v>
      </c>
      <c r="DM12" s="126">
        <v>42426</v>
      </c>
      <c r="DN12" s="204">
        <v>42906</v>
      </c>
      <c r="DO12" s="204"/>
      <c r="DP12" s="204" t="s">
        <v>129</v>
      </c>
      <c r="DQ12" s="125"/>
      <c r="DR12" s="204">
        <v>42426</v>
      </c>
      <c r="DS12" s="204"/>
      <c r="DT12" s="126"/>
      <c r="DU12" s="119"/>
      <c r="DV12" s="119"/>
      <c r="DW12" s="691" t="str">
        <f t="shared" si="14"/>
        <v>0</v>
      </c>
      <c r="DX12" s="126"/>
      <c r="DY12" s="126"/>
      <c r="DZ12" s="691" t="str">
        <f t="shared" si="15"/>
        <v>0</v>
      </c>
      <c r="EA12" s="133"/>
      <c r="EB12" s="126"/>
      <c r="EC12" s="691" t="str">
        <f t="shared" si="16"/>
        <v>0</v>
      </c>
      <c r="ED12" s="133"/>
      <c r="EE12" s="126"/>
      <c r="EF12" s="691" t="str">
        <f t="shared" si="17"/>
        <v>0</v>
      </c>
      <c r="EG12" s="133"/>
      <c r="EH12" s="745"/>
      <c r="EI12" s="691" t="str">
        <f t="shared" si="18"/>
        <v>0</v>
      </c>
      <c r="EJ12" s="243"/>
      <c r="EK12" s="701"/>
      <c r="EL12" s="696"/>
      <c r="EM12" s="697" t="str">
        <f t="shared" si="19"/>
        <v>0</v>
      </c>
      <c r="EN12" s="701"/>
      <c r="EO12" s="696"/>
      <c r="EP12" s="697" t="str">
        <f t="shared" si="20"/>
        <v>0</v>
      </c>
      <c r="EQ12" s="701"/>
      <c r="ER12" s="696"/>
      <c r="ES12" s="697" t="str">
        <f t="shared" si="21"/>
        <v>0</v>
      </c>
      <c r="ET12" s="704"/>
      <c r="EU12" s="722"/>
      <c r="EV12" s="698" t="str">
        <f t="shared" si="22"/>
        <v>0</v>
      </c>
      <c r="EW12" s="699"/>
      <c r="EX12" s="700"/>
      <c r="EY12" s="697" t="str">
        <f t="shared" si="23"/>
        <v>0</v>
      </c>
      <c r="EZ12" s="696"/>
      <c r="FA12" s="701"/>
      <c r="FB12" s="697" t="str">
        <f t="shared" si="24"/>
        <v>0</v>
      </c>
      <c r="FC12" s="705"/>
      <c r="FD12" s="705"/>
      <c r="FE12" s="697" t="str">
        <f t="shared" si="25"/>
        <v>0</v>
      </c>
      <c r="FF12" s="705"/>
      <c r="FG12" s="703"/>
      <c r="FH12" s="697" t="str">
        <f t="shared" si="26"/>
        <v>0</v>
      </c>
      <c r="FI12" s="703"/>
      <c r="FJ12" s="703"/>
      <c r="FK12" s="697" t="str">
        <f t="shared" si="27"/>
        <v>0</v>
      </c>
      <c r="FL12" s="703"/>
      <c r="FM12" s="703"/>
      <c r="FN12" s="703"/>
      <c r="FO12" s="703"/>
      <c r="FP12" s="701"/>
      <c r="FQ12" s="699">
        <f t="shared" si="28"/>
        <v>0</v>
      </c>
      <c r="FR12" s="703"/>
      <c r="FS12" s="701">
        <f t="shared" si="57"/>
        <v>41947</v>
      </c>
      <c r="FT12" s="723"/>
      <c r="FU12" s="723"/>
      <c r="FV12" s="727"/>
      <c r="FW12" s="727"/>
      <c r="FX12" s="728">
        <f t="shared" si="29"/>
        <v>0</v>
      </c>
      <c r="FY12" s="728">
        <f t="shared" si="30"/>
        <v>1398.2333333333333</v>
      </c>
      <c r="FZ12" s="724"/>
      <c r="GA12" s="741" t="s">
        <v>869</v>
      </c>
      <c r="GB12" s="724"/>
      <c r="GC12" s="724"/>
      <c r="GD12" s="164"/>
      <c r="GE12" s="754"/>
      <c r="GF12" s="11">
        <v>2368881</v>
      </c>
      <c r="GG12" s="584">
        <f>GQ12+GV12+HC12+HV12+HA12+HG12+HD12</f>
        <v>2368881</v>
      </c>
      <c r="GH12" s="13">
        <f t="shared" si="31"/>
        <v>0</v>
      </c>
      <c r="GI12" s="52">
        <f t="shared" si="50"/>
        <v>2135.9936160428483</v>
      </c>
      <c r="GJ12" s="52">
        <f t="shared" si="51"/>
        <v>169205.78571428571</v>
      </c>
      <c r="GK12" s="11"/>
      <c r="GL12" s="12">
        <v>2068826</v>
      </c>
      <c r="GM12" s="13">
        <f t="shared" si="34"/>
        <v>2068826</v>
      </c>
      <c r="GN12" s="135">
        <f t="shared" si="35"/>
        <v>0</v>
      </c>
      <c r="GO12" s="136"/>
      <c r="GP12" s="11">
        <v>745095</v>
      </c>
      <c r="GQ12" s="12">
        <v>745095</v>
      </c>
      <c r="GR12" s="70"/>
      <c r="GS12" s="22">
        <f t="shared" si="36"/>
        <v>53221.071428571428</v>
      </c>
      <c r="GT12" s="38">
        <f t="shared" si="37"/>
        <v>0</v>
      </c>
      <c r="GU12" s="11">
        <v>1240121</v>
      </c>
      <c r="GV12" s="12">
        <f t="shared" si="38"/>
        <v>1240121</v>
      </c>
      <c r="GW12" s="14">
        <v>347814</v>
      </c>
      <c r="GX12" s="14">
        <v>892307</v>
      </c>
      <c r="GY12" s="38">
        <f t="shared" si="39"/>
        <v>0</v>
      </c>
      <c r="GZ12" s="888">
        <f t="shared" si="52"/>
        <v>88580.071428571435</v>
      </c>
      <c r="HA12" s="12">
        <v>100000</v>
      </c>
      <c r="HB12" s="11">
        <f>89905+70000</f>
        <v>159905</v>
      </c>
      <c r="HC12" s="16">
        <v>89905</v>
      </c>
      <c r="HD12" s="69">
        <v>70000</v>
      </c>
      <c r="HE12" s="41">
        <f t="shared" si="40"/>
        <v>3.7952518509794288E-2</v>
      </c>
      <c r="HF12" s="326"/>
      <c r="HG12" s="16">
        <v>0</v>
      </c>
      <c r="HH12" s="23">
        <f>HC12-HB12+HD12</f>
        <v>0</v>
      </c>
      <c r="HI12" s="22">
        <f t="shared" si="41"/>
        <v>6421.7857142857147</v>
      </c>
      <c r="HJ12" s="52">
        <f t="shared" si="42"/>
        <v>59642.857142857145</v>
      </c>
      <c r="HK12" s="23">
        <f t="shared" si="43"/>
        <v>0</v>
      </c>
      <c r="HL12" s="51"/>
      <c r="HM12" s="51"/>
      <c r="HN12" s="40">
        <v>339632.49384750001</v>
      </c>
      <c r="HO12" s="40">
        <v>210000</v>
      </c>
      <c r="HP12" s="22">
        <f t="shared" si="44"/>
        <v>74642.857142857145</v>
      </c>
      <c r="HQ12" s="40">
        <v>0</v>
      </c>
      <c r="HR12" s="22">
        <f t="shared" si="45"/>
        <v>74642.857142857145</v>
      </c>
      <c r="HS12" s="53">
        <f t="shared" si="46"/>
        <v>0.40351792401683728</v>
      </c>
      <c r="HT12" s="40">
        <v>118789.62334999999</v>
      </c>
      <c r="HU12" s="40"/>
      <c r="HV12" s="590">
        <v>123760</v>
      </c>
      <c r="HW12" s="42">
        <f t="shared" si="47"/>
        <v>2708513.4938475001</v>
      </c>
      <c r="HX12" s="243"/>
      <c r="HY12" s="243">
        <f t="shared" si="48"/>
        <v>0</v>
      </c>
      <c r="HZ12" s="118"/>
      <c r="IA12" s="243"/>
      <c r="IB12" s="243"/>
      <c r="IC12" s="118"/>
      <c r="ID12" s="118"/>
      <c r="IE12" s="243"/>
      <c r="IF12" s="118"/>
      <c r="IG12" s="243"/>
      <c r="IH12" s="118"/>
      <c r="II12" s="243"/>
      <c r="IJ12" s="119"/>
      <c r="IK12" s="403"/>
      <c r="IL12" s="338"/>
      <c r="IM12" s="338"/>
      <c r="IN12" s="126"/>
      <c r="IO12" s="243"/>
      <c r="IP12" s="126"/>
      <c r="IQ12" s="243"/>
      <c r="IR12" s="404"/>
      <c r="IS12" s="404"/>
      <c r="IT12" s="404"/>
      <c r="IU12" s="404"/>
      <c r="IV12" s="286"/>
      <c r="IW12" s="286"/>
      <c r="IX12" s="286"/>
      <c r="IY12" s="286"/>
      <c r="IZ12" s="286"/>
      <c r="JA12" s="286"/>
      <c r="JB12" s="243"/>
      <c r="JC12" s="126"/>
      <c r="JD12" s="119"/>
      <c r="JE12" s="126"/>
      <c r="JF12" s="126"/>
      <c r="JG12" s="119"/>
    </row>
    <row r="13" spans="1:267" ht="24.95" customHeight="1">
      <c r="A13" s="24" t="s">
        <v>78</v>
      </c>
      <c r="B13" s="8" t="s">
        <v>35</v>
      </c>
      <c r="C13" s="8" t="s">
        <v>113</v>
      </c>
      <c r="D13" s="8">
        <v>2012</v>
      </c>
      <c r="E13" s="8" t="s">
        <v>87</v>
      </c>
      <c r="F13" s="8"/>
      <c r="G13" s="8" t="s">
        <v>185</v>
      </c>
      <c r="H13" s="8" t="s">
        <v>640</v>
      </c>
      <c r="I13" s="56"/>
      <c r="J13" s="56"/>
      <c r="K13" s="272"/>
      <c r="L13" s="163"/>
      <c r="M13" s="163"/>
      <c r="N13" s="163"/>
      <c r="O13" s="217">
        <v>7275</v>
      </c>
      <c r="P13" s="217">
        <f>Q13</f>
        <v>773000</v>
      </c>
      <c r="Q13" s="217">
        <v>773000</v>
      </c>
      <c r="R13" s="217">
        <f>P13/AD13</f>
        <v>9202.3809523809523</v>
      </c>
      <c r="S13" s="217">
        <f t="shared" si="54"/>
        <v>106.25429553264605</v>
      </c>
      <c r="T13" s="217">
        <f t="shared" si="55"/>
        <v>106.25429553264605</v>
      </c>
      <c r="U13" s="217">
        <f>Q13/AJ13</f>
        <v>168.94476183815397</v>
      </c>
      <c r="V13" s="217">
        <f>Q13/AD13</f>
        <v>9202.3809523809523</v>
      </c>
      <c r="W13" s="217">
        <f>O13/AD13</f>
        <v>86.607142857142861</v>
      </c>
      <c r="X13" s="217"/>
      <c r="Y13" s="219">
        <f>AJ13/O13</f>
        <v>0.62892920962199317</v>
      </c>
      <c r="Z13" s="218" t="s">
        <v>192</v>
      </c>
      <c r="AA13" s="220">
        <v>530</v>
      </c>
      <c r="AB13" s="221">
        <v>0.1</v>
      </c>
      <c r="AC13" s="8" t="s">
        <v>15</v>
      </c>
      <c r="AD13" s="342">
        <f t="shared" si="0"/>
        <v>84</v>
      </c>
      <c r="AE13" s="8">
        <v>84</v>
      </c>
      <c r="AF13" s="9"/>
      <c r="AG13" s="67"/>
      <c r="AH13" s="67"/>
      <c r="AI13" s="10">
        <v>4575.46</v>
      </c>
      <c r="AJ13" s="85">
        <v>4575.46</v>
      </c>
      <c r="AK13" s="10">
        <f t="shared" si="1"/>
        <v>54.469761904761903</v>
      </c>
      <c r="AL13" s="62"/>
      <c r="AM13" s="62"/>
      <c r="AN13" s="62"/>
      <c r="AO13" s="62"/>
      <c r="AP13" s="62"/>
      <c r="AQ13" s="10">
        <v>2038</v>
      </c>
      <c r="AR13" s="79">
        <v>0</v>
      </c>
      <c r="AS13" s="81">
        <f t="shared" si="56"/>
        <v>0</v>
      </c>
      <c r="AT13" s="60">
        <v>4</v>
      </c>
      <c r="AU13" s="59" t="s">
        <v>626</v>
      </c>
      <c r="AV13" s="10"/>
      <c r="AW13" s="56"/>
      <c r="AX13" s="194">
        <v>40963</v>
      </c>
      <c r="AY13" s="574" t="s">
        <v>12</v>
      </c>
      <c r="AZ13" s="574" t="s">
        <v>232</v>
      </c>
      <c r="BA13" s="2"/>
      <c r="BB13" s="214">
        <v>41144</v>
      </c>
      <c r="BC13" s="101">
        <v>42481</v>
      </c>
      <c r="BD13" s="101"/>
      <c r="BE13" s="214">
        <v>41199</v>
      </c>
      <c r="BF13" s="101"/>
      <c r="BG13" s="579"/>
      <c r="BH13" s="211"/>
      <c r="BI13" s="104"/>
      <c r="BJ13" s="104"/>
      <c r="BK13" s="318"/>
      <c r="BL13" s="319">
        <f t="shared" si="3"/>
        <v>731</v>
      </c>
      <c r="BM13" s="319">
        <f t="shared" si="4"/>
        <v>1096</v>
      </c>
      <c r="BN13" s="319" t="str">
        <f t="shared" ref="BN13:BN19" si="59">IF(CX13&gt;BL13,"oui","non")</f>
        <v>oui</v>
      </c>
      <c r="BO13" s="104"/>
      <c r="BP13" s="579"/>
      <c r="BQ13" s="579"/>
      <c r="BR13" s="582"/>
      <c r="BS13" s="582"/>
      <c r="BT13" s="582"/>
      <c r="BU13" s="165" t="s">
        <v>150</v>
      </c>
      <c r="BV13" s="330">
        <v>41270</v>
      </c>
      <c r="BW13" s="266" t="s">
        <v>129</v>
      </c>
      <c r="BX13" s="166">
        <v>9461576.1300000008</v>
      </c>
      <c r="BY13" s="172">
        <f t="shared" si="58"/>
        <v>41817</v>
      </c>
      <c r="BZ13" s="266">
        <f t="shared" ref="BZ13:BZ19" si="60">DATE(YEAR(BV13),MONTH(BV13)+24,DAY(BV13))</f>
        <v>42000</v>
      </c>
      <c r="CA13" s="441">
        <v>41549</v>
      </c>
      <c r="CB13" s="266">
        <v>42138</v>
      </c>
      <c r="CC13" s="780">
        <f>(CX13-CB13)/30</f>
        <v>-6.1</v>
      </c>
      <c r="CD13" s="617"/>
      <c r="CE13" s="450">
        <v>41295</v>
      </c>
      <c r="CF13" s="442">
        <v>2013</v>
      </c>
      <c r="CG13" s="601">
        <f t="shared" si="5"/>
        <v>5.0333333333333332</v>
      </c>
      <c r="CH13" s="121">
        <v>19</v>
      </c>
      <c r="CI13" s="121">
        <f t="shared" si="6"/>
        <v>20</v>
      </c>
      <c r="CJ13" s="121">
        <f t="shared" si="7"/>
        <v>20</v>
      </c>
      <c r="CK13" s="121">
        <f t="shared" si="8"/>
        <v>21</v>
      </c>
      <c r="CL13" s="121">
        <f t="shared" si="9"/>
        <v>1</v>
      </c>
      <c r="CM13" s="121">
        <f t="shared" si="10"/>
        <v>1</v>
      </c>
      <c r="CN13" s="244">
        <f>403704.659129873/12</f>
        <v>33642.054927489415</v>
      </c>
      <c r="CO13" s="244">
        <f t="shared" si="11"/>
        <v>33642.054927489415</v>
      </c>
      <c r="CP13" s="120" t="s">
        <v>129</v>
      </c>
      <c r="CQ13" s="620">
        <f t="shared" si="12"/>
        <v>41872</v>
      </c>
      <c r="CR13" s="450">
        <v>41927</v>
      </c>
      <c r="CS13" s="620"/>
      <c r="CT13" s="120">
        <v>41935</v>
      </c>
      <c r="CU13" s="877">
        <f t="shared" si="49"/>
        <v>2.1972222222222224</v>
      </c>
      <c r="CV13" s="248"/>
      <c r="CW13" s="772">
        <v>41955</v>
      </c>
      <c r="CX13" s="453">
        <v>41955</v>
      </c>
      <c r="CY13" s="773">
        <v>2014</v>
      </c>
      <c r="CZ13" s="120"/>
      <c r="DA13" s="126"/>
      <c r="DB13" s="126"/>
      <c r="DC13" s="126"/>
      <c r="DD13" s="126"/>
      <c r="DE13" s="125"/>
      <c r="DF13" s="204">
        <v>42250</v>
      </c>
      <c r="DG13" s="204">
        <f>DATE(YEAR(CR13)+1,MONTH(CR13),DAY(CR13))</f>
        <v>42292</v>
      </c>
      <c r="DH13" s="204">
        <v>41968</v>
      </c>
      <c r="DI13" s="126">
        <v>41969</v>
      </c>
      <c r="DJ13" s="126" t="s">
        <v>129</v>
      </c>
      <c r="DK13" s="126">
        <v>42306</v>
      </c>
      <c r="DL13" s="125"/>
      <c r="DM13" s="204" t="s">
        <v>129</v>
      </c>
      <c r="DN13" s="118">
        <v>42475</v>
      </c>
      <c r="DO13" s="118"/>
      <c r="DP13" s="118"/>
      <c r="DQ13" s="118"/>
      <c r="DR13" s="126">
        <v>42219</v>
      </c>
      <c r="DS13" s="126"/>
      <c r="DT13" s="126"/>
      <c r="DU13" s="126"/>
      <c r="DV13" s="126"/>
      <c r="DW13" s="691" t="str">
        <f t="shared" si="14"/>
        <v>0</v>
      </c>
      <c r="DX13" s="126"/>
      <c r="DY13" s="126"/>
      <c r="DZ13" s="691" t="str">
        <f t="shared" si="15"/>
        <v>0</v>
      </c>
      <c r="EA13" s="126"/>
      <c r="EB13" s="126"/>
      <c r="EC13" s="691" t="str">
        <f t="shared" si="16"/>
        <v>0</v>
      </c>
      <c r="ED13" s="126"/>
      <c r="EE13" s="126"/>
      <c r="EF13" s="691" t="str">
        <f t="shared" si="17"/>
        <v>0</v>
      </c>
      <c r="EG13" s="133"/>
      <c r="EH13" s="745"/>
      <c r="EI13" s="691" t="str">
        <f t="shared" si="18"/>
        <v>0</v>
      </c>
      <c r="EJ13" s="243"/>
      <c r="EK13" s="126"/>
      <c r="EL13" s="243"/>
      <c r="EM13" s="691" t="str">
        <f t="shared" si="19"/>
        <v>0</v>
      </c>
      <c r="EN13" s="126"/>
      <c r="EO13" s="243"/>
      <c r="EP13" s="691" t="str">
        <f t="shared" si="20"/>
        <v>0</v>
      </c>
      <c r="EQ13" s="126"/>
      <c r="ER13" s="243"/>
      <c r="ES13" s="691" t="str">
        <f t="shared" si="21"/>
        <v>0</v>
      </c>
      <c r="ET13" s="747"/>
      <c r="EU13" s="743"/>
      <c r="EV13" s="694" t="str">
        <f t="shared" si="22"/>
        <v>0</v>
      </c>
      <c r="EW13" s="133"/>
      <c r="EX13" s="748"/>
      <c r="EY13" s="691" t="str">
        <f t="shared" si="23"/>
        <v>0</v>
      </c>
      <c r="EZ13" s="126"/>
      <c r="FA13" s="126"/>
      <c r="FB13" s="691" t="str">
        <f t="shared" si="24"/>
        <v>0</v>
      </c>
      <c r="FC13" s="126"/>
      <c r="FD13" s="126"/>
      <c r="FE13" s="691" t="str">
        <f t="shared" si="25"/>
        <v>0</v>
      </c>
      <c r="FF13" s="126"/>
      <c r="FG13" s="126"/>
      <c r="FH13" s="691" t="str">
        <f t="shared" si="26"/>
        <v>0</v>
      </c>
      <c r="FI13" s="126"/>
      <c r="FJ13" s="126"/>
      <c r="FK13" s="691" t="str">
        <f t="shared" si="27"/>
        <v>0</v>
      </c>
      <c r="FL13" s="126"/>
      <c r="FM13" s="126"/>
      <c r="FN13" s="126"/>
      <c r="FO13" s="701"/>
      <c r="FP13" s="701"/>
      <c r="FQ13" s="699">
        <f t="shared" si="28"/>
        <v>0</v>
      </c>
      <c r="FR13" s="701"/>
      <c r="FS13" s="701">
        <f t="shared" si="57"/>
        <v>41955</v>
      </c>
      <c r="FT13" s="723"/>
      <c r="FU13" s="723"/>
      <c r="FV13" s="727"/>
      <c r="FW13" s="727"/>
      <c r="FX13" s="728">
        <f t="shared" si="29"/>
        <v>0</v>
      </c>
      <c r="FY13" s="728">
        <f t="shared" si="30"/>
        <v>1398.5</v>
      </c>
      <c r="FZ13" s="724"/>
      <c r="GA13" s="741"/>
      <c r="GB13" s="724"/>
      <c r="GC13" s="724"/>
      <c r="GD13" s="164"/>
      <c r="GE13" s="754"/>
      <c r="GF13" s="11">
        <v>9756378.3699999992</v>
      </c>
      <c r="GG13" s="584">
        <f>GQ13+GV13+HC13+HV13+HA13+HG13</f>
        <v>9756378.3699999992</v>
      </c>
      <c r="GH13" s="13">
        <f t="shared" si="31"/>
        <v>0</v>
      </c>
      <c r="GI13" s="52">
        <f t="shared" si="50"/>
        <v>2132.327322280164</v>
      </c>
      <c r="GJ13" s="52">
        <f t="shared" si="51"/>
        <v>116147.36154761903</v>
      </c>
      <c r="GK13" s="11">
        <v>8749715</v>
      </c>
      <c r="GL13" s="12"/>
      <c r="GM13" s="13">
        <f t="shared" si="34"/>
        <v>-8749715</v>
      </c>
      <c r="GN13" s="135">
        <f t="shared" si="35"/>
        <v>0.91565319386029509</v>
      </c>
      <c r="GO13" s="136"/>
      <c r="GP13" s="11">
        <v>3263643</v>
      </c>
      <c r="GQ13" s="12">
        <v>3263643</v>
      </c>
      <c r="GR13" s="70"/>
      <c r="GS13" s="22">
        <f t="shared" si="36"/>
        <v>38852.892857142855</v>
      </c>
      <c r="GT13" s="38">
        <f t="shared" si="37"/>
        <v>0</v>
      </c>
      <c r="GU13" s="11">
        <v>6429606.3699999992</v>
      </c>
      <c r="GV13" s="12">
        <f t="shared" si="38"/>
        <v>6429606.3699999992</v>
      </c>
      <c r="GW13" s="14">
        <v>1639468.02</v>
      </c>
      <c r="GX13" s="14">
        <v>4790138.3499999996</v>
      </c>
      <c r="GY13" s="38">
        <f t="shared" si="39"/>
        <v>0</v>
      </c>
      <c r="GZ13" s="888">
        <f t="shared" si="52"/>
        <v>76542.932976190466</v>
      </c>
      <c r="HA13" s="12">
        <v>0</v>
      </c>
      <c r="HB13" s="11">
        <v>1</v>
      </c>
      <c r="HC13" s="16">
        <v>1</v>
      </c>
      <c r="HD13" s="69"/>
      <c r="HE13" s="41">
        <f t="shared" si="40"/>
        <v>1.0249704983510188E-7</v>
      </c>
      <c r="HF13" s="326"/>
      <c r="HG13" s="16">
        <v>63128</v>
      </c>
      <c r="HH13" s="23">
        <f>HC13-HB13</f>
        <v>0</v>
      </c>
      <c r="HI13" s="22">
        <f t="shared" si="41"/>
        <v>1.1904761904761904E-2</v>
      </c>
      <c r="HJ13" s="52">
        <f t="shared" si="42"/>
        <v>38852.904761904763</v>
      </c>
      <c r="HK13" s="23">
        <f t="shared" si="43"/>
        <v>0</v>
      </c>
      <c r="HL13" s="51"/>
      <c r="HM13" s="51"/>
      <c r="HN13" s="40">
        <v>0</v>
      </c>
      <c r="HO13" s="40">
        <v>0</v>
      </c>
      <c r="HP13" s="22">
        <f t="shared" si="44"/>
        <v>38852.904761904763</v>
      </c>
      <c r="HQ13" s="40">
        <v>0</v>
      </c>
      <c r="HR13" s="22">
        <f t="shared" si="45"/>
        <v>38852.904761904763</v>
      </c>
      <c r="HS13" s="53">
        <f t="shared" si="46"/>
        <v>0.33451388171203122</v>
      </c>
      <c r="HT13" s="40"/>
      <c r="HU13" s="40"/>
      <c r="HV13" s="12">
        <v>0</v>
      </c>
      <c r="HW13" s="42">
        <f t="shared" si="47"/>
        <v>9756378.3699999992</v>
      </c>
      <c r="HX13" s="243"/>
      <c r="HY13" s="243">
        <f t="shared" si="48"/>
        <v>0</v>
      </c>
      <c r="HZ13" s="118"/>
      <c r="IA13" s="243"/>
      <c r="IB13" s="243"/>
      <c r="IC13" s="118"/>
      <c r="ID13" s="118"/>
      <c r="IE13" s="243"/>
      <c r="IF13" s="118"/>
      <c r="IG13" s="243"/>
      <c r="IH13" s="118"/>
      <c r="II13" s="243"/>
      <c r="IJ13" s="119"/>
      <c r="IK13" s="403"/>
      <c r="IL13" s="338"/>
      <c r="IM13" s="338"/>
      <c r="IN13" s="126"/>
      <c r="IO13" s="243"/>
      <c r="IP13" s="126"/>
      <c r="IQ13" s="243"/>
      <c r="IR13" s="404"/>
      <c r="IS13" s="404"/>
      <c r="IT13" s="404"/>
      <c r="IU13" s="404"/>
      <c r="IV13" s="286"/>
      <c r="IW13" s="286"/>
      <c r="IX13" s="286"/>
      <c r="IY13" s="286"/>
      <c r="IZ13" s="286"/>
      <c r="JA13" s="286"/>
      <c r="JB13" s="243"/>
      <c r="JC13" s="126"/>
      <c r="JD13" s="119"/>
      <c r="JE13" s="126"/>
      <c r="JF13" s="126"/>
      <c r="JG13" s="119"/>
    </row>
    <row r="14" spans="1:267" ht="24.95" customHeight="1">
      <c r="A14" s="86" t="s">
        <v>447</v>
      </c>
      <c r="B14" s="8" t="s">
        <v>35</v>
      </c>
      <c r="C14" s="8" t="s">
        <v>113</v>
      </c>
      <c r="D14" s="8">
        <v>2012</v>
      </c>
      <c r="E14" s="8" t="s">
        <v>85</v>
      </c>
      <c r="F14" s="8" t="s">
        <v>30</v>
      </c>
      <c r="G14" s="8" t="s">
        <v>766</v>
      </c>
      <c r="H14" s="8" t="s">
        <v>260</v>
      </c>
      <c r="I14" s="56" t="s">
        <v>361</v>
      </c>
      <c r="J14" s="56"/>
      <c r="K14" s="272"/>
      <c r="L14" s="163"/>
      <c r="M14" s="163"/>
      <c r="N14" s="163"/>
      <c r="O14" s="217">
        <v>8821</v>
      </c>
      <c r="P14" s="217">
        <v>530000</v>
      </c>
      <c r="Q14" s="217">
        <v>289110</v>
      </c>
      <c r="R14" s="217">
        <f>P14/AD14</f>
        <v>13250</v>
      </c>
      <c r="S14" s="217">
        <f t="shared" si="54"/>
        <v>60.083890715338399</v>
      </c>
      <c r="T14" s="217">
        <f t="shared" si="55"/>
        <v>32.775195556059401</v>
      </c>
      <c r="U14" s="217">
        <f>Q14/AJ14</f>
        <v>111.55441514093337</v>
      </c>
      <c r="V14" s="217">
        <f>Q14/AD14</f>
        <v>7227.75</v>
      </c>
      <c r="W14" s="217">
        <f>O14/AD14</f>
        <v>220.52500000000001</v>
      </c>
      <c r="X14" s="217"/>
      <c r="Y14" s="219">
        <f>AJ14/O14</f>
        <v>0.29380455730642785</v>
      </c>
      <c r="Z14" s="218" t="s">
        <v>210</v>
      </c>
      <c r="AA14" s="220"/>
      <c r="AB14" s="221"/>
      <c r="AC14" s="8" t="s">
        <v>16</v>
      </c>
      <c r="AD14" s="342">
        <f t="shared" si="0"/>
        <v>40</v>
      </c>
      <c r="AE14" s="9"/>
      <c r="AF14" s="8">
        <v>40</v>
      </c>
      <c r="AG14" s="56"/>
      <c r="AH14" s="56"/>
      <c r="AI14" s="10">
        <v>2591.65</v>
      </c>
      <c r="AJ14" s="85">
        <v>2591.65</v>
      </c>
      <c r="AK14" s="10">
        <f t="shared" si="1"/>
        <v>64.791250000000005</v>
      </c>
      <c r="AL14" s="81">
        <f>4/AD14</f>
        <v>0.1</v>
      </c>
      <c r="AM14" s="81">
        <f>12/AD14</f>
        <v>0.3</v>
      </c>
      <c r="AN14" s="81">
        <f>13/AD14</f>
        <v>0.32500000000000001</v>
      </c>
      <c r="AO14" s="81">
        <f>9/AD14</f>
        <v>0.22500000000000001</v>
      </c>
      <c r="AP14" s="81">
        <f>2/AD14</f>
        <v>0.05</v>
      </c>
      <c r="AQ14" s="572">
        <v>1150</v>
      </c>
      <c r="AR14" s="837"/>
      <c r="AS14" s="82">
        <f t="shared" si="56"/>
        <v>0</v>
      </c>
      <c r="AT14" s="61">
        <v>2.5</v>
      </c>
      <c r="AU14" s="59" t="s">
        <v>626</v>
      </c>
      <c r="AV14" s="10" t="s">
        <v>122</v>
      </c>
      <c r="AW14" s="56"/>
      <c r="AX14" s="194">
        <v>40963</v>
      </c>
      <c r="AY14" s="574" t="s">
        <v>12</v>
      </c>
      <c r="AZ14" s="574" t="s">
        <v>235</v>
      </c>
      <c r="BA14" s="2"/>
      <c r="BB14" s="214">
        <v>41094</v>
      </c>
      <c r="BC14" s="101"/>
      <c r="BD14" s="101"/>
      <c r="BE14" s="214">
        <v>41134</v>
      </c>
      <c r="BF14" s="101"/>
      <c r="BG14" s="579"/>
      <c r="BH14" s="211"/>
      <c r="BI14" s="104"/>
      <c r="BJ14" s="104"/>
      <c r="BK14" s="319">
        <v>41319</v>
      </c>
      <c r="BL14" s="319">
        <f t="shared" si="3"/>
        <v>42049</v>
      </c>
      <c r="BM14" s="319">
        <f t="shared" si="4"/>
        <v>42414</v>
      </c>
      <c r="BN14" s="319" t="str">
        <f t="shared" si="59"/>
        <v>oui</v>
      </c>
      <c r="BO14" s="104"/>
      <c r="BP14" s="579"/>
      <c r="BQ14" s="104"/>
      <c r="BR14" s="116"/>
      <c r="BS14" s="116"/>
      <c r="BT14" s="116"/>
      <c r="BU14" s="165" t="s">
        <v>150</v>
      </c>
      <c r="BV14" s="330">
        <v>41261</v>
      </c>
      <c r="BW14" s="266"/>
      <c r="BX14" s="166"/>
      <c r="BY14" s="172">
        <f t="shared" si="58"/>
        <v>41808</v>
      </c>
      <c r="BZ14" s="266">
        <f t="shared" si="60"/>
        <v>41991</v>
      </c>
      <c r="CA14" s="441">
        <v>41570</v>
      </c>
      <c r="CB14" s="266">
        <v>41988</v>
      </c>
      <c r="CC14" s="780">
        <f>(CX14-CB14)/30</f>
        <v>5.4333333333333336</v>
      </c>
      <c r="CD14" s="617"/>
      <c r="CE14" s="448">
        <v>41309</v>
      </c>
      <c r="CF14" s="442">
        <v>2013</v>
      </c>
      <c r="CG14" s="601">
        <f t="shared" si="5"/>
        <v>7.166666666666667</v>
      </c>
      <c r="CH14" s="121">
        <v>15</v>
      </c>
      <c r="CI14" s="121">
        <f t="shared" si="6"/>
        <v>16</v>
      </c>
      <c r="CJ14" s="121">
        <f t="shared" si="7"/>
        <v>26</v>
      </c>
      <c r="CK14" s="121">
        <f t="shared" si="8"/>
        <v>27</v>
      </c>
      <c r="CL14" s="121">
        <f t="shared" si="9"/>
        <v>11</v>
      </c>
      <c r="CM14" s="121">
        <f t="shared" si="10"/>
        <v>11</v>
      </c>
      <c r="CN14" s="244">
        <f>172364.265683679/12</f>
        <v>14363.68880697325</v>
      </c>
      <c r="CO14" s="244">
        <f t="shared" si="11"/>
        <v>158000.57687670575</v>
      </c>
      <c r="CP14" s="120" t="s">
        <v>129</v>
      </c>
      <c r="CQ14" s="620">
        <f t="shared" si="12"/>
        <v>41763</v>
      </c>
      <c r="CR14" s="450">
        <v>42111</v>
      </c>
      <c r="CS14" s="620"/>
      <c r="CT14" s="195">
        <v>42202</v>
      </c>
      <c r="CU14" s="878">
        <f t="shared" si="49"/>
        <v>3.0777777777777775</v>
      </c>
      <c r="CV14" s="195">
        <v>42278</v>
      </c>
      <c r="CW14" s="620">
        <v>42151</v>
      </c>
      <c r="CX14" s="453">
        <v>42151</v>
      </c>
      <c r="CY14" s="621">
        <v>2015</v>
      </c>
      <c r="CZ14" s="120"/>
      <c r="DA14" s="126" t="s">
        <v>129</v>
      </c>
      <c r="DB14" s="126"/>
      <c r="DC14" s="126" t="s">
        <v>129</v>
      </c>
      <c r="DD14" s="126" t="s">
        <v>129</v>
      </c>
      <c r="DE14" s="204">
        <v>42628</v>
      </c>
      <c r="DF14" s="204">
        <v>42831</v>
      </c>
      <c r="DG14" s="125">
        <f>DATE(YEAR(CR14)+1,MONTH(CR14),DAY(CR14))</f>
        <v>42477</v>
      </c>
      <c r="DH14" s="204">
        <v>42170</v>
      </c>
      <c r="DI14" s="247" t="s">
        <v>409</v>
      </c>
      <c r="DJ14" s="204">
        <v>42647</v>
      </c>
      <c r="DK14" s="125"/>
      <c r="DL14" s="125"/>
      <c r="DM14" s="204">
        <v>42426</v>
      </c>
      <c r="DN14" s="118">
        <v>42797</v>
      </c>
      <c r="DO14" s="118"/>
      <c r="DP14" s="125"/>
      <c r="DQ14" s="125"/>
      <c r="DR14" s="204">
        <v>42978</v>
      </c>
      <c r="DS14" s="125"/>
      <c r="DT14" s="126"/>
      <c r="DU14" s="126"/>
      <c r="DV14" s="126"/>
      <c r="DW14" s="691" t="str">
        <f t="shared" si="14"/>
        <v>0</v>
      </c>
      <c r="DX14" s="126"/>
      <c r="DY14" s="126"/>
      <c r="DZ14" s="691" t="str">
        <f t="shared" si="15"/>
        <v>0</v>
      </c>
      <c r="EA14" s="126"/>
      <c r="EB14" s="126"/>
      <c r="EC14" s="691" t="str">
        <f t="shared" si="16"/>
        <v>0</v>
      </c>
      <c r="ED14" s="126"/>
      <c r="EE14" s="126"/>
      <c r="EF14" s="691" t="str">
        <f t="shared" si="17"/>
        <v>0</v>
      </c>
      <c r="EG14" s="133"/>
      <c r="EH14" s="745"/>
      <c r="EI14" s="691" t="str">
        <f t="shared" si="18"/>
        <v>0</v>
      </c>
      <c r="EJ14" s="243"/>
      <c r="EK14" s="701"/>
      <c r="EL14" s="696"/>
      <c r="EM14" s="697" t="str">
        <f t="shared" si="19"/>
        <v>0</v>
      </c>
      <c r="EN14" s="701"/>
      <c r="EO14" s="696"/>
      <c r="EP14" s="697" t="str">
        <f t="shared" si="20"/>
        <v>0</v>
      </c>
      <c r="EQ14" s="701"/>
      <c r="ER14" s="696"/>
      <c r="ES14" s="697" t="str">
        <f t="shared" si="21"/>
        <v>0</v>
      </c>
      <c r="ET14" s="704"/>
      <c r="EU14" s="722"/>
      <c r="EV14" s="698" t="str">
        <f t="shared" si="22"/>
        <v>0</v>
      </c>
      <c r="EW14" s="699"/>
      <c r="EX14" s="700"/>
      <c r="EY14" s="697" t="str">
        <f t="shared" si="23"/>
        <v>0</v>
      </c>
      <c r="EZ14" s="696"/>
      <c r="FA14" s="701"/>
      <c r="FB14" s="697" t="str">
        <f t="shared" si="24"/>
        <v>0</v>
      </c>
      <c r="FC14" s="705"/>
      <c r="FD14" s="705"/>
      <c r="FE14" s="697" t="str">
        <f t="shared" si="25"/>
        <v>0</v>
      </c>
      <c r="FF14" s="705"/>
      <c r="FG14" s="701"/>
      <c r="FH14" s="697" t="str">
        <f t="shared" si="26"/>
        <v>0</v>
      </c>
      <c r="FI14" s="701"/>
      <c r="FJ14" s="701"/>
      <c r="FK14" s="697" t="str">
        <f t="shared" si="27"/>
        <v>0</v>
      </c>
      <c r="FL14" s="703"/>
      <c r="FM14" s="703"/>
      <c r="FN14" s="703"/>
      <c r="FO14" s="703"/>
      <c r="FP14" s="701"/>
      <c r="FQ14" s="699">
        <f t="shared" si="28"/>
        <v>0</v>
      </c>
      <c r="FR14" s="703"/>
      <c r="FS14" s="701">
        <f t="shared" si="57"/>
        <v>42151</v>
      </c>
      <c r="FT14" s="723"/>
      <c r="FU14" s="723"/>
      <c r="FV14" s="727"/>
      <c r="FW14" s="727"/>
      <c r="FX14" s="728">
        <f t="shared" si="29"/>
        <v>0</v>
      </c>
      <c r="FY14" s="728">
        <f t="shared" si="30"/>
        <v>1405.0333333333333</v>
      </c>
      <c r="FZ14" s="724"/>
      <c r="GA14" s="741" t="s">
        <v>874</v>
      </c>
      <c r="GB14" s="724"/>
      <c r="GC14" s="724"/>
      <c r="GD14" s="164"/>
      <c r="GE14" s="826">
        <v>5246631</v>
      </c>
      <c r="GF14" s="11">
        <v>5090210.4499999993</v>
      </c>
      <c r="GG14" s="584">
        <f>GQ14+GV14+HC14+HV14+HA14+HG14</f>
        <v>5090210.4499999993</v>
      </c>
      <c r="GH14" s="13">
        <f t="shared" si="31"/>
        <v>0</v>
      </c>
      <c r="GI14" s="52">
        <f t="shared" si="50"/>
        <v>1964.0809715818104</v>
      </c>
      <c r="GJ14" s="52">
        <f t="shared" si="51"/>
        <v>127255.26124999998</v>
      </c>
      <c r="GK14" s="11">
        <v>4689965</v>
      </c>
      <c r="GL14" s="12"/>
      <c r="GM14" s="13">
        <f t="shared" si="34"/>
        <v>-4689965</v>
      </c>
      <c r="GN14" s="135">
        <f t="shared" si="35"/>
        <v>0.9407183282569388</v>
      </c>
      <c r="GO14" s="136"/>
      <c r="GP14" s="11">
        <v>1480537</v>
      </c>
      <c r="GQ14" s="12">
        <v>1480537</v>
      </c>
      <c r="GR14" s="70"/>
      <c r="GS14" s="22">
        <f t="shared" si="36"/>
        <v>37013.425000000003</v>
      </c>
      <c r="GT14" s="38">
        <f t="shared" si="37"/>
        <v>0</v>
      </c>
      <c r="GU14" s="11">
        <v>2895140.53</v>
      </c>
      <c r="GV14" s="12">
        <f t="shared" si="38"/>
        <v>2895140.53</v>
      </c>
      <c r="GW14" s="14">
        <v>565518</v>
      </c>
      <c r="GX14" s="14">
        <v>2329622.5299999998</v>
      </c>
      <c r="GY14" s="38">
        <f t="shared" si="39"/>
        <v>0</v>
      </c>
      <c r="GZ14" s="888">
        <f t="shared" si="52"/>
        <v>72378.513249999989</v>
      </c>
      <c r="HA14" s="12">
        <v>0</v>
      </c>
      <c r="HB14" s="11">
        <v>663000</v>
      </c>
      <c r="HC14" s="16">
        <v>663000</v>
      </c>
      <c r="HD14" s="69"/>
      <c r="HE14" s="41">
        <f t="shared" si="40"/>
        <v>0.13025001746244108</v>
      </c>
      <c r="HF14" s="326"/>
      <c r="HG14" s="16">
        <v>0</v>
      </c>
      <c r="HH14" s="23">
        <f>HC14-HB14</f>
        <v>0</v>
      </c>
      <c r="HI14" s="22">
        <f t="shared" si="41"/>
        <v>16575</v>
      </c>
      <c r="HJ14" s="52">
        <f t="shared" si="42"/>
        <v>53588.425000000003</v>
      </c>
      <c r="HK14" s="23">
        <f t="shared" si="43"/>
        <v>0</v>
      </c>
      <c r="HL14" s="51"/>
      <c r="HM14" s="51"/>
      <c r="HN14" s="40">
        <v>1151902.8490725001</v>
      </c>
      <c r="HO14" s="40">
        <v>800000</v>
      </c>
      <c r="HP14" s="22">
        <f t="shared" si="44"/>
        <v>73588.425000000003</v>
      </c>
      <c r="HQ14" s="40">
        <v>0</v>
      </c>
      <c r="HR14" s="22">
        <f t="shared" si="45"/>
        <v>73588.425000000003</v>
      </c>
      <c r="HS14" s="53">
        <f t="shared" si="46"/>
        <v>0.4949673218743304</v>
      </c>
      <c r="HT14" s="40">
        <v>295181.31</v>
      </c>
      <c r="HU14" s="589"/>
      <c r="HV14" s="590">
        <v>51532.92</v>
      </c>
      <c r="HW14" s="98">
        <f t="shared" si="47"/>
        <v>6242113.2990724994</v>
      </c>
      <c r="HX14" s="243"/>
      <c r="HY14" s="243">
        <f t="shared" si="48"/>
        <v>0</v>
      </c>
      <c r="HZ14" s="118"/>
      <c r="IA14" s="243"/>
      <c r="IB14" s="243"/>
      <c r="IC14" s="118"/>
      <c r="ID14" s="118"/>
      <c r="IE14" s="243"/>
      <c r="IF14" s="118"/>
      <c r="IG14" s="243"/>
      <c r="IH14" s="118"/>
      <c r="II14" s="243"/>
      <c r="IJ14" s="119"/>
      <c r="IK14" s="403"/>
      <c r="IL14" s="338"/>
      <c r="IM14" s="338"/>
      <c r="IN14" s="126"/>
      <c r="IO14" s="243"/>
      <c r="IP14" s="126"/>
      <c r="IQ14" s="243"/>
      <c r="IR14" s="404"/>
      <c r="IS14" s="404"/>
      <c r="IT14" s="404"/>
      <c r="IU14" s="404"/>
      <c r="IV14" s="126"/>
      <c r="IW14" s="243"/>
      <c r="IX14" s="286"/>
      <c r="IY14" s="286"/>
      <c r="IZ14" s="286"/>
      <c r="JA14" s="286"/>
      <c r="JB14" s="243"/>
      <c r="JC14" s="126"/>
      <c r="JD14" s="119"/>
      <c r="JE14" s="126"/>
      <c r="JF14" s="126"/>
      <c r="JG14" s="119"/>
    </row>
    <row r="15" spans="1:267" ht="75" customHeight="1">
      <c r="A15" s="24" t="s">
        <v>95</v>
      </c>
      <c r="B15" s="8" t="s">
        <v>35</v>
      </c>
      <c r="C15" s="8" t="s">
        <v>113</v>
      </c>
      <c r="D15" s="8">
        <v>2012</v>
      </c>
      <c r="E15" s="8" t="s">
        <v>86</v>
      </c>
      <c r="F15" s="8" t="s">
        <v>37</v>
      </c>
      <c r="G15" s="8" t="s">
        <v>184</v>
      </c>
      <c r="H15" s="8" t="s">
        <v>260</v>
      </c>
      <c r="I15" s="56"/>
      <c r="J15" s="56"/>
      <c r="K15" s="272"/>
      <c r="L15" s="163"/>
      <c r="M15" s="163"/>
      <c r="N15" s="163"/>
      <c r="O15" s="217">
        <v>3735</v>
      </c>
      <c r="P15" s="217">
        <f>Q15</f>
        <v>860000</v>
      </c>
      <c r="Q15" s="217">
        <v>860000</v>
      </c>
      <c r="R15" s="217">
        <f>P15/(AD15+AD110)</f>
        <v>29655.172413793105</v>
      </c>
      <c r="S15" s="217">
        <f t="shared" si="54"/>
        <v>230.25435073627844</v>
      </c>
      <c r="T15" s="217">
        <f t="shared" si="55"/>
        <v>230.25435073627844</v>
      </c>
      <c r="U15" s="217">
        <f>Q15/(AJ15+AJ110)</f>
        <v>359.81005376231616</v>
      </c>
      <c r="V15" s="217">
        <f>Q15/(AD15+AD110)</f>
        <v>29655.172413793105</v>
      </c>
      <c r="W15" s="217">
        <f>O15/(AD15+AD110)</f>
        <v>128.79310344827587</v>
      </c>
      <c r="X15" s="217"/>
      <c r="Y15" s="219">
        <f>(AJ15+AJ110)/O15</f>
        <v>0.63993306559571628</v>
      </c>
      <c r="Z15" s="218" t="s">
        <v>198</v>
      </c>
      <c r="AA15" s="220"/>
      <c r="AB15" s="221"/>
      <c r="AC15" s="8" t="s">
        <v>15</v>
      </c>
      <c r="AD15" s="342">
        <f t="shared" si="0"/>
        <v>29</v>
      </c>
      <c r="AE15" s="8">
        <v>29</v>
      </c>
      <c r="AF15" s="9"/>
      <c r="AG15" s="67"/>
      <c r="AH15" s="67"/>
      <c r="AI15" s="10">
        <v>2390.15</v>
      </c>
      <c r="AJ15" s="85">
        <v>2390.15</v>
      </c>
      <c r="AK15" s="10">
        <f t="shared" si="1"/>
        <v>82.418965517241389</v>
      </c>
      <c r="AL15" s="62"/>
      <c r="AM15" s="62"/>
      <c r="AN15" s="62"/>
      <c r="AO15" s="62"/>
      <c r="AP15" s="62"/>
      <c r="AQ15" s="10">
        <v>1046</v>
      </c>
      <c r="AR15" s="79">
        <v>0</v>
      </c>
      <c r="AS15" s="81">
        <f t="shared" si="56"/>
        <v>0</v>
      </c>
      <c r="AT15" s="60">
        <v>4</v>
      </c>
      <c r="AU15" s="59" t="s">
        <v>626</v>
      </c>
      <c r="AV15" s="10" t="s">
        <v>121</v>
      </c>
      <c r="AW15" s="56"/>
      <c r="AX15" s="194">
        <v>40963</v>
      </c>
      <c r="AY15" s="574" t="s">
        <v>12</v>
      </c>
      <c r="AZ15" s="574" t="s">
        <v>238</v>
      </c>
      <c r="BA15" s="2"/>
      <c r="BB15" s="214">
        <v>41053</v>
      </c>
      <c r="BC15" s="101"/>
      <c r="BD15" s="101"/>
      <c r="BE15" s="214">
        <v>41193</v>
      </c>
      <c r="BF15" s="101"/>
      <c r="BG15" s="579"/>
      <c r="BH15" s="211"/>
      <c r="BI15" s="104"/>
      <c r="BJ15" s="104"/>
      <c r="BK15" s="319">
        <v>41319</v>
      </c>
      <c r="BL15" s="319">
        <f t="shared" si="3"/>
        <v>42049</v>
      </c>
      <c r="BM15" s="319">
        <f t="shared" si="4"/>
        <v>42414</v>
      </c>
      <c r="BN15" s="319" t="str">
        <f t="shared" si="59"/>
        <v>oui</v>
      </c>
      <c r="BO15" s="104"/>
      <c r="BP15" s="579"/>
      <c r="BQ15" s="579"/>
      <c r="BR15" s="582"/>
      <c r="BS15" s="116"/>
      <c r="BT15" s="582"/>
      <c r="BU15" s="165" t="s">
        <v>139</v>
      </c>
      <c r="BV15" s="330">
        <v>41261</v>
      </c>
      <c r="BW15" s="266"/>
      <c r="BX15" s="166">
        <v>6314520.7599999998</v>
      </c>
      <c r="BY15" s="172">
        <f t="shared" si="58"/>
        <v>41808</v>
      </c>
      <c r="BZ15" s="266">
        <f t="shared" si="60"/>
        <v>41991</v>
      </c>
      <c r="CA15" s="441">
        <v>41470</v>
      </c>
      <c r="CB15" s="266">
        <v>42170</v>
      </c>
      <c r="CC15" s="780">
        <f>(CX15-CB15)/30</f>
        <v>-0.4</v>
      </c>
      <c r="CD15" s="617"/>
      <c r="CE15" s="448">
        <v>41309</v>
      </c>
      <c r="CF15" s="442">
        <v>2013</v>
      </c>
      <c r="CG15" s="601">
        <f t="shared" si="5"/>
        <v>8.5333333333333332</v>
      </c>
      <c r="CH15" s="121">
        <v>15</v>
      </c>
      <c r="CI15" s="121">
        <f t="shared" si="6"/>
        <v>16</v>
      </c>
      <c r="CJ15" s="121">
        <f t="shared" si="7"/>
        <v>27</v>
      </c>
      <c r="CK15" s="121">
        <f t="shared" si="8"/>
        <v>27</v>
      </c>
      <c r="CL15" s="121">
        <f t="shared" si="9"/>
        <v>12</v>
      </c>
      <c r="CM15" s="121">
        <f t="shared" si="10"/>
        <v>11</v>
      </c>
      <c r="CN15" s="244">
        <f>184847.662644658/12</f>
        <v>15403.971887054833</v>
      </c>
      <c r="CO15" s="244">
        <f t="shared" si="11"/>
        <v>184847.662644658</v>
      </c>
      <c r="CP15" s="120" t="s">
        <v>129</v>
      </c>
      <c r="CQ15" s="620">
        <f t="shared" si="12"/>
        <v>41763</v>
      </c>
      <c r="CR15" s="450">
        <v>42158</v>
      </c>
      <c r="CS15" s="620"/>
      <c r="CT15" s="120">
        <v>41992</v>
      </c>
      <c r="CU15" s="877">
        <f t="shared" si="49"/>
        <v>2.6083333333333334</v>
      </c>
      <c r="CV15" s="120"/>
      <c r="CW15" s="772">
        <v>42158</v>
      </c>
      <c r="CX15" s="453">
        <v>42158</v>
      </c>
      <c r="CY15" s="621">
        <v>2015</v>
      </c>
      <c r="CZ15" s="120"/>
      <c r="DA15" s="126"/>
      <c r="DB15" s="126"/>
      <c r="DC15" s="125"/>
      <c r="DD15" s="125"/>
      <c r="DE15" s="125"/>
      <c r="DF15" s="279" t="s">
        <v>329</v>
      </c>
      <c r="DG15" s="125">
        <f>DATE(YEAR(CR15)+1,MONTH(CR15),DAY(CR15))</f>
        <v>42524</v>
      </c>
      <c r="DH15" s="247" t="s">
        <v>310</v>
      </c>
      <c r="DI15" s="204">
        <v>42353</v>
      </c>
      <c r="DJ15" s="125"/>
      <c r="DK15" s="125"/>
      <c r="DL15" s="125"/>
      <c r="DM15" s="125"/>
      <c r="DN15" s="126">
        <v>43006</v>
      </c>
      <c r="DO15" s="193"/>
      <c r="DP15" s="193"/>
      <c r="DQ15" s="193"/>
      <c r="DR15" s="125"/>
      <c r="DS15" s="125"/>
      <c r="DT15" s="126"/>
      <c r="DU15" s="126"/>
      <c r="DV15" s="126"/>
      <c r="DW15" s="691" t="str">
        <f t="shared" si="14"/>
        <v>0</v>
      </c>
      <c r="DX15" s="126"/>
      <c r="DY15" s="126"/>
      <c r="DZ15" s="691" t="str">
        <f t="shared" si="15"/>
        <v>0</v>
      </c>
      <c r="EA15" s="126"/>
      <c r="EB15" s="126"/>
      <c r="EC15" s="691" t="str">
        <f t="shared" si="16"/>
        <v>0</v>
      </c>
      <c r="ED15" s="126"/>
      <c r="EE15" s="126"/>
      <c r="EF15" s="691" t="str">
        <f t="shared" si="17"/>
        <v>0</v>
      </c>
      <c r="EG15" s="133"/>
      <c r="EH15" s="745"/>
      <c r="EI15" s="691" t="str">
        <f t="shared" si="18"/>
        <v>0</v>
      </c>
      <c r="EJ15" s="243"/>
      <c r="EK15" s="701"/>
      <c r="EL15" s="696"/>
      <c r="EM15" s="697" t="str">
        <f t="shared" si="19"/>
        <v>0</v>
      </c>
      <c r="EN15" s="701"/>
      <c r="EO15" s="696"/>
      <c r="EP15" s="697" t="str">
        <f t="shared" si="20"/>
        <v>0</v>
      </c>
      <c r="EQ15" s="701"/>
      <c r="ER15" s="696"/>
      <c r="ES15" s="697" t="str">
        <f t="shared" si="21"/>
        <v>0</v>
      </c>
      <c r="ET15" s="704"/>
      <c r="EU15" s="722"/>
      <c r="EV15" s="698" t="str">
        <f t="shared" si="22"/>
        <v>0</v>
      </c>
      <c r="EW15" s="699"/>
      <c r="EX15" s="700"/>
      <c r="EY15" s="697" t="str">
        <f t="shared" si="23"/>
        <v>0</v>
      </c>
      <c r="EZ15" s="701"/>
      <c r="FA15" s="701"/>
      <c r="FB15" s="697" t="str">
        <f t="shared" si="24"/>
        <v>0</v>
      </c>
      <c r="FC15" s="701"/>
      <c r="FD15" s="701"/>
      <c r="FE15" s="697" t="str">
        <f t="shared" si="25"/>
        <v>0</v>
      </c>
      <c r="FF15" s="701"/>
      <c r="FG15" s="701"/>
      <c r="FH15" s="697" t="str">
        <f t="shared" si="26"/>
        <v>0</v>
      </c>
      <c r="FI15" s="701"/>
      <c r="FJ15" s="701"/>
      <c r="FK15" s="697" t="str">
        <f t="shared" si="27"/>
        <v>0</v>
      </c>
      <c r="FL15" s="701"/>
      <c r="FM15" s="701"/>
      <c r="FN15" s="701"/>
      <c r="FO15" s="701"/>
      <c r="FP15" s="701"/>
      <c r="FQ15" s="699">
        <f t="shared" si="28"/>
        <v>0</v>
      </c>
      <c r="FR15" s="701"/>
      <c r="FS15" s="701">
        <f t="shared" si="57"/>
        <v>42158</v>
      </c>
      <c r="FT15" s="723"/>
      <c r="FU15" s="723"/>
      <c r="FV15" s="727"/>
      <c r="FW15" s="727"/>
      <c r="FX15" s="728">
        <f t="shared" si="29"/>
        <v>0</v>
      </c>
      <c r="FY15" s="728">
        <f t="shared" si="30"/>
        <v>1405.2666666666667</v>
      </c>
      <c r="FZ15" s="724"/>
      <c r="GA15" s="741"/>
      <c r="GB15" s="724"/>
      <c r="GC15" s="724"/>
      <c r="GD15" s="164"/>
      <c r="GE15" s="826">
        <v>4670611</v>
      </c>
      <c r="GF15" s="11">
        <v>4807009.38</v>
      </c>
      <c r="GG15" s="584">
        <f>GQ15+GV15+HC15+HV15+HA15+HG15</f>
        <v>4681218.38</v>
      </c>
      <c r="GH15" s="13">
        <f t="shared" si="31"/>
        <v>-125791</v>
      </c>
      <c r="GI15" s="52">
        <f t="shared" si="50"/>
        <v>1958.5458569545842</v>
      </c>
      <c r="GJ15" s="52">
        <f t="shared" si="51"/>
        <v>161421.32344827586</v>
      </c>
      <c r="GK15" s="11"/>
      <c r="GL15" s="12"/>
      <c r="GM15" s="13">
        <f t="shared" si="34"/>
        <v>0</v>
      </c>
      <c r="GN15" s="135">
        <f t="shared" si="35"/>
        <v>0</v>
      </c>
      <c r="GO15" s="136"/>
      <c r="GP15" s="11">
        <v>1473759.38</v>
      </c>
      <c r="GQ15" s="12">
        <v>1473759.38</v>
      </c>
      <c r="GR15" s="70"/>
      <c r="GS15" s="22">
        <f t="shared" si="36"/>
        <v>50819.28896551724</v>
      </c>
      <c r="GT15" s="38">
        <f t="shared" si="37"/>
        <v>0</v>
      </c>
      <c r="GU15" s="11">
        <v>3186090</v>
      </c>
      <c r="GV15" s="12">
        <f t="shared" si="38"/>
        <v>3186090</v>
      </c>
      <c r="GW15" s="14">
        <v>549227</v>
      </c>
      <c r="GX15" s="14">
        <v>2636863</v>
      </c>
      <c r="GY15" s="38">
        <f t="shared" si="39"/>
        <v>0</v>
      </c>
      <c r="GZ15" s="888">
        <f t="shared" si="52"/>
        <v>109865.1724137931</v>
      </c>
      <c r="HA15" s="12">
        <v>0</v>
      </c>
      <c r="HB15" s="11">
        <v>1111</v>
      </c>
      <c r="HC15" s="16">
        <v>1</v>
      </c>
      <c r="HD15" s="69"/>
      <c r="HE15" s="41">
        <f t="shared" si="40"/>
        <v>2.1361960045965641E-7</v>
      </c>
      <c r="HF15" s="326"/>
      <c r="HG15" s="16">
        <v>1110</v>
      </c>
      <c r="HH15" s="23">
        <f>HC15-HB15+HG15</f>
        <v>0</v>
      </c>
      <c r="HI15" s="22">
        <f t="shared" si="41"/>
        <v>3.4482758620689655E-2</v>
      </c>
      <c r="HJ15" s="52">
        <f t="shared" si="42"/>
        <v>50819.323448275856</v>
      </c>
      <c r="HK15" s="23">
        <f t="shared" si="43"/>
        <v>0</v>
      </c>
      <c r="HL15" s="51"/>
      <c r="HM15" s="51"/>
      <c r="HN15" s="40">
        <v>0</v>
      </c>
      <c r="HO15" s="40">
        <v>0</v>
      </c>
      <c r="HP15" s="22">
        <f t="shared" si="44"/>
        <v>50819.323448275856</v>
      </c>
      <c r="HQ15" s="40">
        <v>0</v>
      </c>
      <c r="HR15" s="22">
        <f t="shared" si="45"/>
        <v>50819.323448275856</v>
      </c>
      <c r="HS15" s="53">
        <f t="shared" si="46"/>
        <v>0.31482410354887136</v>
      </c>
      <c r="HT15" s="40"/>
      <c r="HU15" s="40"/>
      <c r="HV15" s="590">
        <v>20258</v>
      </c>
      <c r="HW15" s="42">
        <f t="shared" si="47"/>
        <v>4681218.38</v>
      </c>
      <c r="HX15" s="243"/>
      <c r="HY15" s="243">
        <f t="shared" si="48"/>
        <v>0</v>
      </c>
      <c r="HZ15" s="118"/>
      <c r="IA15" s="243"/>
      <c r="IB15" s="243"/>
      <c r="IC15" s="118"/>
      <c r="ID15" s="118"/>
      <c r="IE15" s="243"/>
      <c r="IF15" s="118"/>
      <c r="IG15" s="243"/>
      <c r="IH15" s="118"/>
      <c r="II15" s="243"/>
      <c r="IJ15" s="119"/>
      <c r="IK15" s="403"/>
      <c r="IL15" s="338"/>
      <c r="IM15" s="338"/>
      <c r="IN15" s="126"/>
      <c r="IO15" s="243"/>
      <c r="IP15" s="126"/>
      <c r="IQ15" s="243"/>
      <c r="IR15" s="404"/>
      <c r="IS15" s="404"/>
      <c r="IT15" s="404"/>
      <c r="IU15" s="404"/>
      <c r="IV15" s="286"/>
      <c r="IW15" s="286"/>
      <c r="IX15" s="286"/>
      <c r="IY15" s="286"/>
      <c r="IZ15" s="286"/>
      <c r="JA15" s="286"/>
      <c r="JB15" s="243"/>
      <c r="JC15" s="126"/>
      <c r="JD15" s="119"/>
      <c r="JE15" s="126"/>
      <c r="JF15" s="126"/>
      <c r="JG15" s="119"/>
    </row>
    <row r="16" spans="1:267" ht="35.1" customHeight="1">
      <c r="A16" s="24" t="s">
        <v>96</v>
      </c>
      <c r="B16" s="8" t="s">
        <v>35</v>
      </c>
      <c r="C16" s="8" t="s">
        <v>113</v>
      </c>
      <c r="D16" s="8">
        <v>2012</v>
      </c>
      <c r="E16" s="8" t="s">
        <v>86</v>
      </c>
      <c r="F16" s="8" t="s">
        <v>37</v>
      </c>
      <c r="G16" s="7"/>
      <c r="H16" s="8"/>
      <c r="I16" s="56"/>
      <c r="J16" s="56"/>
      <c r="K16" s="272"/>
      <c r="L16" s="163"/>
      <c r="M16" s="163"/>
      <c r="N16" s="163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218" t="s">
        <v>198</v>
      </c>
      <c r="AA16" s="220"/>
      <c r="AB16" s="221"/>
      <c r="AC16" s="8" t="s">
        <v>16</v>
      </c>
      <c r="AD16" s="342">
        <f t="shared" si="0"/>
        <v>13</v>
      </c>
      <c r="AE16" s="9"/>
      <c r="AF16" s="8">
        <v>13</v>
      </c>
      <c r="AG16" s="56"/>
      <c r="AH16" s="56"/>
      <c r="AI16" s="10">
        <v>927.22</v>
      </c>
      <c r="AJ16" s="85">
        <v>927.22</v>
      </c>
      <c r="AK16" s="10">
        <f t="shared" si="1"/>
        <v>71.324615384615385</v>
      </c>
      <c r="AL16" s="62"/>
      <c r="AM16" s="62"/>
      <c r="AN16" s="62"/>
      <c r="AO16" s="62"/>
      <c r="AP16" s="62"/>
      <c r="AQ16" s="9"/>
      <c r="AR16" s="192"/>
      <c r="AS16" s="111"/>
      <c r="AT16" s="67"/>
      <c r="AU16" s="59" t="s">
        <v>626</v>
      </c>
      <c r="AV16" s="10" t="s">
        <v>121</v>
      </c>
      <c r="AW16" s="56"/>
      <c r="AX16" s="194">
        <v>40963</v>
      </c>
      <c r="AY16" s="574" t="s">
        <v>12</v>
      </c>
      <c r="AZ16" s="574" t="s">
        <v>238</v>
      </c>
      <c r="BA16" s="2"/>
      <c r="BB16" s="214">
        <v>41081</v>
      </c>
      <c r="BC16" s="101"/>
      <c r="BD16" s="101"/>
      <c r="BE16" s="214">
        <v>41193</v>
      </c>
      <c r="BF16" s="101"/>
      <c r="BG16" s="579"/>
      <c r="BH16" s="211"/>
      <c r="BI16" s="104"/>
      <c r="BJ16" s="104"/>
      <c r="BK16" s="319">
        <v>41319</v>
      </c>
      <c r="BL16" s="319">
        <f t="shared" si="3"/>
        <v>42049</v>
      </c>
      <c r="BM16" s="319">
        <f t="shared" si="4"/>
        <v>42414</v>
      </c>
      <c r="BN16" s="319" t="str">
        <f t="shared" si="59"/>
        <v>oui</v>
      </c>
      <c r="BO16" s="104"/>
      <c r="BP16" s="579"/>
      <c r="BQ16" s="104"/>
      <c r="BR16" s="116"/>
      <c r="BS16" s="116"/>
      <c r="BT16" s="116"/>
      <c r="BU16" s="165"/>
      <c r="BV16" s="330">
        <v>41261</v>
      </c>
      <c r="BW16" s="266"/>
      <c r="BX16" s="166">
        <v>6314520.7599999998</v>
      </c>
      <c r="BY16" s="172">
        <f t="shared" si="58"/>
        <v>41808</v>
      </c>
      <c r="BZ16" s="266">
        <f t="shared" si="60"/>
        <v>41991</v>
      </c>
      <c r="CA16" s="441">
        <v>41470</v>
      </c>
      <c r="CB16" s="517"/>
      <c r="CC16" s="517"/>
      <c r="CD16" s="617"/>
      <c r="CE16" s="448">
        <v>41309</v>
      </c>
      <c r="CF16" s="442">
        <v>2013</v>
      </c>
      <c r="CG16" s="601">
        <f t="shared" si="5"/>
        <v>7.6</v>
      </c>
      <c r="CH16" s="121">
        <v>15</v>
      </c>
      <c r="CI16" s="121">
        <f t="shared" si="6"/>
        <v>16</v>
      </c>
      <c r="CJ16" s="121">
        <f t="shared" si="7"/>
        <v>27</v>
      </c>
      <c r="CK16" s="121">
        <f t="shared" si="8"/>
        <v>27</v>
      </c>
      <c r="CL16" s="121">
        <f t="shared" si="9"/>
        <v>12</v>
      </c>
      <c r="CM16" s="121">
        <f t="shared" si="10"/>
        <v>11</v>
      </c>
      <c r="CN16" s="244">
        <f>55171.5718158662/12</f>
        <v>4597.6309846555168</v>
      </c>
      <c r="CO16" s="244">
        <f t="shared" si="11"/>
        <v>55171.571815866206</v>
      </c>
      <c r="CP16" s="120" t="s">
        <v>129</v>
      </c>
      <c r="CQ16" s="620">
        <f t="shared" si="12"/>
        <v>41763</v>
      </c>
      <c r="CR16" s="450">
        <v>42158</v>
      </c>
      <c r="CS16" s="620"/>
      <c r="CT16" s="120">
        <v>41992</v>
      </c>
      <c r="CU16" s="877">
        <f t="shared" si="49"/>
        <v>2.5305555555555554</v>
      </c>
      <c r="CV16" s="120"/>
      <c r="CW16" s="772">
        <v>42158</v>
      </c>
      <c r="CX16" s="453">
        <v>42158</v>
      </c>
      <c r="CY16" s="621">
        <v>2015</v>
      </c>
      <c r="CZ16" s="120"/>
      <c r="DA16" s="126"/>
      <c r="DB16" s="126"/>
      <c r="DC16" s="125"/>
      <c r="DD16" s="125"/>
      <c r="DE16" s="125"/>
      <c r="DF16" s="279" t="s">
        <v>329</v>
      </c>
      <c r="DG16" s="125">
        <f>DATE(YEAR(CR16)+1,MONTH(CR16),DAY(CR16))</f>
        <v>42524</v>
      </c>
      <c r="DH16" s="247" t="s">
        <v>310</v>
      </c>
      <c r="DI16" s="204">
        <v>42353</v>
      </c>
      <c r="DJ16" s="125"/>
      <c r="DK16" s="125"/>
      <c r="DL16" s="125"/>
      <c r="DM16" s="125"/>
      <c r="DN16" s="126">
        <v>43006</v>
      </c>
      <c r="DO16" s="193"/>
      <c r="DP16" s="193"/>
      <c r="DQ16" s="193"/>
      <c r="DR16" s="125"/>
      <c r="DS16" s="125"/>
      <c r="DT16" s="126"/>
      <c r="DU16" s="126"/>
      <c r="DV16" s="126"/>
      <c r="DW16" s="691" t="str">
        <f t="shared" si="14"/>
        <v>0</v>
      </c>
      <c r="DX16" s="126"/>
      <c r="DY16" s="126"/>
      <c r="DZ16" s="691" t="str">
        <f t="shared" si="15"/>
        <v>0</v>
      </c>
      <c r="EA16" s="126"/>
      <c r="EB16" s="126"/>
      <c r="EC16" s="691" t="str">
        <f t="shared" si="16"/>
        <v>0</v>
      </c>
      <c r="ED16" s="126"/>
      <c r="EE16" s="126"/>
      <c r="EF16" s="691" t="str">
        <f t="shared" si="17"/>
        <v>0</v>
      </c>
      <c r="EG16" s="133"/>
      <c r="EH16" s="745"/>
      <c r="EI16" s="691" t="str">
        <f t="shared" si="18"/>
        <v>0</v>
      </c>
      <c r="EJ16" s="243"/>
      <c r="EK16" s="126"/>
      <c r="EL16" s="243"/>
      <c r="EM16" s="691" t="str">
        <f t="shared" si="19"/>
        <v>0</v>
      </c>
      <c r="EN16" s="126"/>
      <c r="EO16" s="243"/>
      <c r="EP16" s="691" t="str">
        <f t="shared" si="20"/>
        <v>0</v>
      </c>
      <c r="EQ16" s="126"/>
      <c r="ER16" s="243"/>
      <c r="ES16" s="691" t="str">
        <f t="shared" si="21"/>
        <v>0</v>
      </c>
      <c r="ET16" s="747"/>
      <c r="EU16" s="743"/>
      <c r="EV16" s="694" t="str">
        <f t="shared" si="22"/>
        <v>0</v>
      </c>
      <c r="EW16" s="133"/>
      <c r="EX16" s="748"/>
      <c r="EY16" s="691" t="str">
        <f t="shared" si="23"/>
        <v>0</v>
      </c>
      <c r="EZ16" s="126"/>
      <c r="FA16" s="126"/>
      <c r="FB16" s="691" t="str">
        <f t="shared" si="24"/>
        <v>0</v>
      </c>
      <c r="FC16" s="126"/>
      <c r="FD16" s="126"/>
      <c r="FE16" s="691" t="str">
        <f t="shared" si="25"/>
        <v>0</v>
      </c>
      <c r="FF16" s="126"/>
      <c r="FG16" s="126"/>
      <c r="FH16" s="691" t="str">
        <f t="shared" si="26"/>
        <v>0</v>
      </c>
      <c r="FI16" s="126"/>
      <c r="FJ16" s="126"/>
      <c r="FK16" s="691" t="str">
        <f t="shared" si="27"/>
        <v>0</v>
      </c>
      <c r="FL16" s="126"/>
      <c r="FM16" s="126"/>
      <c r="FN16" s="126"/>
      <c r="FO16" s="701"/>
      <c r="FP16" s="701"/>
      <c r="FQ16" s="699">
        <f t="shared" si="28"/>
        <v>0</v>
      </c>
      <c r="FR16" s="701"/>
      <c r="FS16" s="701"/>
      <c r="FT16" s="723"/>
      <c r="FU16" s="723"/>
      <c r="FV16" s="727"/>
      <c r="FW16" s="727"/>
      <c r="FX16" s="728">
        <f t="shared" si="29"/>
        <v>0</v>
      </c>
      <c r="FY16" s="728">
        <f t="shared" si="30"/>
        <v>0</v>
      </c>
      <c r="FZ16" s="724"/>
      <c r="GA16" s="741" t="s">
        <v>885</v>
      </c>
      <c r="GB16" s="724"/>
      <c r="GC16" s="724"/>
      <c r="GD16" s="164"/>
      <c r="GE16" s="826">
        <v>1808199</v>
      </c>
      <c r="GF16" s="11">
        <v>1878610.47</v>
      </c>
      <c r="GG16" s="584">
        <f>GQ16+GV16+HC16+HV16+HD16+HG16</f>
        <v>1898659.47</v>
      </c>
      <c r="GH16" s="13">
        <f t="shared" si="31"/>
        <v>20049</v>
      </c>
      <c r="GI16" s="52">
        <f t="shared" si="50"/>
        <v>2047.6903755311575</v>
      </c>
      <c r="GJ16" s="52">
        <f t="shared" si="51"/>
        <v>146050.72846153847</v>
      </c>
      <c r="GK16" s="11"/>
      <c r="GL16" s="12"/>
      <c r="GM16" s="13">
        <f t="shared" si="34"/>
        <v>0</v>
      </c>
      <c r="GN16" s="135">
        <f t="shared" si="35"/>
        <v>0</v>
      </c>
      <c r="GO16" s="136"/>
      <c r="GP16" s="11">
        <v>706398.49</v>
      </c>
      <c r="GQ16" s="12">
        <v>706398.49</v>
      </c>
      <c r="GR16" s="70"/>
      <c r="GS16" s="22">
        <f t="shared" si="36"/>
        <v>54338.345384615386</v>
      </c>
      <c r="GT16" s="38">
        <f t="shared" si="37"/>
        <v>0</v>
      </c>
      <c r="GU16" s="11">
        <v>1041347.98</v>
      </c>
      <c r="GV16" s="12">
        <f t="shared" si="38"/>
        <v>1041347.98</v>
      </c>
      <c r="GW16" s="14">
        <v>179485</v>
      </c>
      <c r="GX16" s="14">
        <v>861862.98</v>
      </c>
      <c r="GY16" s="38">
        <f t="shared" si="39"/>
        <v>0</v>
      </c>
      <c r="GZ16" s="888">
        <f t="shared" si="52"/>
        <v>80103.690769230772</v>
      </c>
      <c r="HA16" s="12">
        <v>0</v>
      </c>
      <c r="HB16" s="11">
        <v>60430</v>
      </c>
      <c r="HC16" s="16">
        <v>60000</v>
      </c>
      <c r="HD16" s="69"/>
      <c r="HE16" s="41">
        <f t="shared" si="40"/>
        <v>3.1601243376201633E-2</v>
      </c>
      <c r="HF16" s="326"/>
      <c r="HG16" s="16">
        <v>430</v>
      </c>
      <c r="HH16" s="23">
        <f>HC16-HB16+HG16</f>
        <v>0</v>
      </c>
      <c r="HI16" s="22">
        <f t="shared" si="41"/>
        <v>4615.3846153846152</v>
      </c>
      <c r="HJ16" s="52">
        <f t="shared" si="42"/>
        <v>58953.729999999996</v>
      </c>
      <c r="HK16" s="23">
        <f t="shared" si="43"/>
        <v>0</v>
      </c>
      <c r="HL16" s="51"/>
      <c r="HM16" s="51"/>
      <c r="HN16" s="40">
        <v>0</v>
      </c>
      <c r="HO16" s="40">
        <v>0</v>
      </c>
      <c r="HP16" s="22">
        <f t="shared" si="44"/>
        <v>58953.729999999996</v>
      </c>
      <c r="HQ16" s="40">
        <v>0</v>
      </c>
      <c r="HR16" s="22">
        <f t="shared" si="45"/>
        <v>58953.729999999996</v>
      </c>
      <c r="HS16" s="53">
        <f t="shared" si="46"/>
        <v>0.40365242009405722</v>
      </c>
      <c r="HT16" s="40"/>
      <c r="HU16" s="40"/>
      <c r="HV16" s="590">
        <v>90483</v>
      </c>
      <c r="HW16" s="42">
        <f t="shared" si="47"/>
        <v>1898659.47</v>
      </c>
      <c r="HX16" s="243"/>
      <c r="HY16" s="243">
        <f t="shared" si="48"/>
        <v>0</v>
      </c>
      <c r="HZ16" s="118"/>
      <c r="IA16" s="243"/>
      <c r="IB16" s="243"/>
      <c r="IC16" s="118"/>
      <c r="ID16" s="118"/>
      <c r="IE16" s="243"/>
      <c r="IF16" s="118"/>
      <c r="IG16" s="243"/>
      <c r="IH16" s="118"/>
      <c r="II16" s="243"/>
      <c r="IJ16" s="119"/>
      <c r="IK16" s="403"/>
      <c r="IL16" s="338"/>
      <c r="IM16" s="338"/>
      <c r="IN16" s="126"/>
      <c r="IO16" s="243"/>
      <c r="IP16" s="126"/>
      <c r="IQ16" s="243"/>
      <c r="IR16" s="404"/>
      <c r="IS16" s="404"/>
      <c r="IT16" s="404"/>
      <c r="IU16" s="404"/>
      <c r="IV16" s="286"/>
      <c r="IW16" s="286"/>
      <c r="IX16" s="286"/>
      <c r="IY16" s="286"/>
      <c r="IZ16" s="286"/>
      <c r="JA16" s="286"/>
      <c r="JB16" s="243"/>
      <c r="JC16" s="126"/>
      <c r="JD16" s="119"/>
      <c r="JE16" s="126"/>
      <c r="JF16" s="126"/>
      <c r="JG16" s="119"/>
    </row>
    <row r="17" spans="1:267" ht="143.25" customHeight="1">
      <c r="A17" s="24" t="s">
        <v>287</v>
      </c>
      <c r="B17" s="8" t="s">
        <v>34</v>
      </c>
      <c r="C17" s="8" t="s">
        <v>114</v>
      </c>
      <c r="D17" s="8">
        <v>2012</v>
      </c>
      <c r="E17" s="8" t="s">
        <v>93</v>
      </c>
      <c r="F17" s="8" t="s">
        <v>58</v>
      </c>
      <c r="G17" s="8" t="s">
        <v>519</v>
      </c>
      <c r="H17" s="8" t="s">
        <v>260</v>
      </c>
      <c r="I17" s="56"/>
      <c r="J17" s="56"/>
      <c r="K17" s="502" t="s">
        <v>716</v>
      </c>
      <c r="L17" s="163"/>
      <c r="M17" s="163"/>
      <c r="N17" s="163"/>
      <c r="O17" s="217">
        <v>3000</v>
      </c>
      <c r="P17" s="217">
        <v>200500</v>
      </c>
      <c r="Q17" s="217">
        <v>112930</v>
      </c>
      <c r="R17" s="217">
        <f t="shared" ref="R17:R19" si="61">P17/AD17</f>
        <v>20050</v>
      </c>
      <c r="S17" s="217">
        <f t="shared" ref="S17:S19" si="62">P17/O17</f>
        <v>66.833333333333329</v>
      </c>
      <c r="T17" s="217">
        <f t="shared" ref="T17:T19" si="63">Q17/O17</f>
        <v>37.643333333333331</v>
      </c>
      <c r="U17" s="217">
        <f t="shared" ref="U17:U19" si="64">Q17/AJ17</f>
        <v>120.70587229312298</v>
      </c>
      <c r="V17" s="217">
        <f t="shared" ref="V17:V19" si="65">Q17/AD17</f>
        <v>11293</v>
      </c>
      <c r="W17" s="217">
        <f t="shared" ref="W17:W19" si="66">O17/AD17</f>
        <v>300</v>
      </c>
      <c r="X17" s="218">
        <v>691.97</v>
      </c>
      <c r="Y17" s="219">
        <f t="shared" ref="Y17:Y19" si="67">AJ17/O17</f>
        <v>0.31186000000000003</v>
      </c>
      <c r="Z17" s="218" t="s">
        <v>197</v>
      </c>
      <c r="AA17" s="220">
        <v>850</v>
      </c>
      <c r="AB17" s="221">
        <v>0.3</v>
      </c>
      <c r="AC17" s="8" t="s">
        <v>16</v>
      </c>
      <c r="AD17" s="342">
        <f t="shared" si="0"/>
        <v>10</v>
      </c>
      <c r="AE17" s="9"/>
      <c r="AF17" s="8">
        <v>10</v>
      </c>
      <c r="AG17" s="56"/>
      <c r="AH17" s="56"/>
      <c r="AI17" s="10">
        <v>935.58</v>
      </c>
      <c r="AJ17" s="85">
        <v>935.58</v>
      </c>
      <c r="AK17" s="10">
        <f t="shared" si="1"/>
        <v>93.558000000000007</v>
      </c>
      <c r="AL17" s="62"/>
      <c r="AM17" s="62"/>
      <c r="AN17" s="81">
        <f>3/AD17</f>
        <v>0.3</v>
      </c>
      <c r="AO17" s="81">
        <f>5/AD17</f>
        <v>0.5</v>
      </c>
      <c r="AP17" s="81">
        <f>2/AD17</f>
        <v>0.2</v>
      </c>
      <c r="AQ17" s="10">
        <v>884</v>
      </c>
      <c r="AR17" s="110">
        <v>91</v>
      </c>
      <c r="AS17" s="81">
        <f t="shared" ref="AS17:AS19" si="68">AR17/O17</f>
        <v>3.0333333333333334E-2</v>
      </c>
      <c r="AT17" s="10">
        <v>1.5</v>
      </c>
      <c r="AU17" s="62" t="s">
        <v>625</v>
      </c>
      <c r="AV17" s="10"/>
      <c r="AW17" s="56"/>
      <c r="AX17" s="194">
        <v>40963</v>
      </c>
      <c r="AY17" s="574" t="s">
        <v>11</v>
      </c>
      <c r="AZ17" s="574" t="s">
        <v>231</v>
      </c>
      <c r="BA17" s="2"/>
      <c r="BB17" s="214">
        <v>41179</v>
      </c>
      <c r="BC17" s="101"/>
      <c r="BD17" s="101"/>
      <c r="BE17" s="214">
        <v>41190</v>
      </c>
      <c r="BF17" s="101"/>
      <c r="BG17" s="579"/>
      <c r="BH17" s="211"/>
      <c r="BI17" s="104"/>
      <c r="BJ17" s="104"/>
      <c r="BK17" s="319">
        <v>41319</v>
      </c>
      <c r="BL17" s="319">
        <f t="shared" si="3"/>
        <v>42049</v>
      </c>
      <c r="BM17" s="319">
        <f t="shared" si="4"/>
        <v>42414</v>
      </c>
      <c r="BN17" s="319" t="str">
        <f t="shared" si="59"/>
        <v>oui</v>
      </c>
      <c r="BO17" s="104"/>
      <c r="BP17" s="579"/>
      <c r="BQ17" s="104"/>
      <c r="BR17" s="116"/>
      <c r="BS17" s="116"/>
      <c r="BT17" s="116"/>
      <c r="BU17" s="165" t="s">
        <v>145</v>
      </c>
      <c r="BV17" s="330">
        <v>41255</v>
      </c>
      <c r="BW17" s="266"/>
      <c r="BX17" s="166">
        <v>1784992.95</v>
      </c>
      <c r="BY17" s="172">
        <f t="shared" si="58"/>
        <v>41802</v>
      </c>
      <c r="BZ17" s="266">
        <f t="shared" si="60"/>
        <v>41985</v>
      </c>
      <c r="CA17" s="441">
        <v>41746</v>
      </c>
      <c r="CB17" s="266">
        <v>41985</v>
      </c>
      <c r="CC17" s="780">
        <f t="shared" ref="CC17:CC19" si="69">(CX17-CB17)/30</f>
        <v>10.033333333333333</v>
      </c>
      <c r="CD17" s="617"/>
      <c r="CE17" s="448">
        <v>41451</v>
      </c>
      <c r="CF17" s="442">
        <v>2013</v>
      </c>
      <c r="CG17" s="601">
        <f t="shared" si="5"/>
        <v>9.0666666666666664</v>
      </c>
      <c r="CH17" s="254">
        <v>14</v>
      </c>
      <c r="CI17" s="254">
        <f t="shared" si="6"/>
        <v>15</v>
      </c>
      <c r="CJ17" s="133">
        <f t="shared" si="7"/>
        <v>26</v>
      </c>
      <c r="CK17" s="133">
        <f t="shared" si="8"/>
        <v>27</v>
      </c>
      <c r="CL17" s="133">
        <f t="shared" si="9"/>
        <v>12</v>
      </c>
      <c r="CM17" s="133">
        <f t="shared" si="10"/>
        <v>12</v>
      </c>
      <c r="CN17" s="243">
        <f>56031.6736154515/12</f>
        <v>4669.3061346209588</v>
      </c>
      <c r="CO17" s="243">
        <f t="shared" si="11"/>
        <v>56031.673615451509</v>
      </c>
      <c r="CP17" s="248" t="s">
        <v>129</v>
      </c>
      <c r="CQ17" s="751">
        <f t="shared" si="12"/>
        <v>41877</v>
      </c>
      <c r="CR17" s="450">
        <v>42265</v>
      </c>
      <c r="CS17" s="620"/>
      <c r="CT17" s="134">
        <v>42285</v>
      </c>
      <c r="CU17" s="876">
        <f t="shared" si="49"/>
        <v>3.0722222222222224</v>
      </c>
      <c r="CV17" s="134"/>
      <c r="CW17" s="786">
        <v>42277</v>
      </c>
      <c r="CX17" s="453">
        <v>42286</v>
      </c>
      <c r="CY17" s="621">
        <v>2015</v>
      </c>
      <c r="CZ17" s="134"/>
      <c r="DA17" s="134" t="s">
        <v>129</v>
      </c>
      <c r="DB17" s="134"/>
      <c r="DC17" s="126" t="s">
        <v>129</v>
      </c>
      <c r="DD17" s="126" t="s">
        <v>129</v>
      </c>
      <c r="DE17" s="126" t="s">
        <v>129</v>
      </c>
      <c r="DF17" s="863" t="s">
        <v>607</v>
      </c>
      <c r="DG17" s="126">
        <f t="shared" ref="DG17" si="70">DATE(YEAR(CR17)+1,MONTH(CR17),DAY(CR17))</f>
        <v>42631</v>
      </c>
      <c r="DH17" s="204">
        <v>42311</v>
      </c>
      <c r="DI17" s="247" t="s">
        <v>410</v>
      </c>
      <c r="DJ17" s="247" t="s">
        <v>129</v>
      </c>
      <c r="DK17" s="247">
        <v>42782</v>
      </c>
      <c r="DL17" s="125"/>
      <c r="DM17" s="247" t="s">
        <v>571</v>
      </c>
      <c r="DN17" s="296"/>
      <c r="DO17" s="783" t="s">
        <v>706</v>
      </c>
      <c r="DP17" s="247">
        <v>42808</v>
      </c>
      <c r="DQ17" s="193"/>
      <c r="DR17" s="125"/>
      <c r="DS17" s="125"/>
      <c r="DT17" s="126"/>
      <c r="DU17" s="126"/>
      <c r="DV17" s="126"/>
      <c r="DW17" s="691" t="str">
        <f t="shared" si="14"/>
        <v>0</v>
      </c>
      <c r="DX17" s="126"/>
      <c r="DY17" s="126"/>
      <c r="DZ17" s="691" t="str">
        <f t="shared" si="15"/>
        <v>0</v>
      </c>
      <c r="EA17" s="126"/>
      <c r="EB17" s="126"/>
      <c r="EC17" s="691" t="str">
        <f t="shared" si="16"/>
        <v>0</v>
      </c>
      <c r="ED17" s="126"/>
      <c r="EE17" s="126"/>
      <c r="EF17" s="691" t="str">
        <f t="shared" si="17"/>
        <v>0</v>
      </c>
      <c r="EG17" s="133"/>
      <c r="EH17" s="745"/>
      <c r="EI17" s="691" t="str">
        <f t="shared" si="18"/>
        <v>0</v>
      </c>
      <c r="EJ17" s="243"/>
      <c r="EK17" s="701"/>
      <c r="EL17" s="696"/>
      <c r="EM17" s="697" t="str">
        <f t="shared" si="19"/>
        <v>0</v>
      </c>
      <c r="EN17" s="701"/>
      <c r="EO17" s="696"/>
      <c r="EP17" s="697" t="str">
        <f t="shared" si="20"/>
        <v>0</v>
      </c>
      <c r="EQ17" s="701"/>
      <c r="ER17" s="696"/>
      <c r="ES17" s="697" t="str">
        <f t="shared" si="21"/>
        <v>0</v>
      </c>
      <c r="ET17" s="704"/>
      <c r="EU17" s="722"/>
      <c r="EV17" s="698" t="str">
        <f t="shared" si="22"/>
        <v>0</v>
      </c>
      <c r="EW17" s="699"/>
      <c r="EX17" s="700">
        <f ca="1">IF(EW17&lt;TODAY(),TODAY(),EW17)</f>
        <v>43188</v>
      </c>
      <c r="EY17" s="697" t="str">
        <f t="shared" ca="1" si="23"/>
        <v>0</v>
      </c>
      <c r="EZ17" s="701"/>
      <c r="FA17" s="701"/>
      <c r="FB17" s="697" t="str">
        <f t="shared" si="24"/>
        <v>0</v>
      </c>
      <c r="FC17" s="701"/>
      <c r="FD17" s="701"/>
      <c r="FE17" s="697" t="str">
        <f t="shared" si="25"/>
        <v>0</v>
      </c>
      <c r="FF17" s="701"/>
      <c r="FG17" s="701"/>
      <c r="FH17" s="697" t="str">
        <f t="shared" si="26"/>
        <v>0</v>
      </c>
      <c r="FI17" s="701"/>
      <c r="FJ17" s="701"/>
      <c r="FK17" s="697" t="str">
        <f t="shared" si="27"/>
        <v>0</v>
      </c>
      <c r="FL17" s="701"/>
      <c r="FM17" s="701"/>
      <c r="FN17" s="701"/>
      <c r="FO17" s="701"/>
      <c r="FP17" s="701"/>
      <c r="FQ17" s="699">
        <f t="shared" si="28"/>
        <v>0</v>
      </c>
      <c r="FR17" s="701"/>
      <c r="FS17" s="701">
        <f>CX17</f>
        <v>42286</v>
      </c>
      <c r="FT17" s="723"/>
      <c r="FU17" s="723"/>
      <c r="FV17" s="727"/>
      <c r="FW17" s="727"/>
      <c r="FX17" s="728">
        <f t="shared" si="29"/>
        <v>0</v>
      </c>
      <c r="FY17" s="728">
        <f t="shared" si="30"/>
        <v>1409.5333333333333</v>
      </c>
      <c r="FZ17" s="724"/>
      <c r="GA17" s="741" t="s">
        <v>883</v>
      </c>
      <c r="GB17" s="724"/>
      <c r="GC17" s="724"/>
      <c r="GD17" s="164"/>
      <c r="GE17" s="826">
        <v>1723671</v>
      </c>
      <c r="GF17" s="11">
        <v>2008085.62</v>
      </c>
      <c r="GG17" s="584">
        <f>GQ17+GV17+HC17+HV17+HG17+HA17</f>
        <v>2108085.62</v>
      </c>
      <c r="GH17" s="13">
        <f t="shared" si="31"/>
        <v>100000</v>
      </c>
      <c r="GI17" s="52">
        <f t="shared" si="50"/>
        <v>2253.2392954103339</v>
      </c>
      <c r="GJ17" s="52">
        <f t="shared" si="51"/>
        <v>210808.56200000001</v>
      </c>
      <c r="GK17" s="11">
        <v>1672116</v>
      </c>
      <c r="GL17" s="12"/>
      <c r="GM17" s="13">
        <f t="shared" si="34"/>
        <v>-1672116</v>
      </c>
      <c r="GN17" s="135">
        <f t="shared" si="35"/>
        <v>0.85017810943738525</v>
      </c>
      <c r="GO17" s="136"/>
      <c r="GP17" s="11">
        <v>553441</v>
      </c>
      <c r="GQ17" s="12">
        <v>553441</v>
      </c>
      <c r="GR17" s="70"/>
      <c r="GS17" s="22">
        <f t="shared" si="36"/>
        <v>55344.1</v>
      </c>
      <c r="GT17" s="38">
        <f t="shared" si="37"/>
        <v>0</v>
      </c>
      <c r="GU17" s="11">
        <v>1110259</v>
      </c>
      <c r="GV17" s="12">
        <f t="shared" si="38"/>
        <v>1110259</v>
      </c>
      <c r="GW17" s="14">
        <v>257996</v>
      </c>
      <c r="GX17" s="14">
        <v>852263</v>
      </c>
      <c r="GY17" s="38">
        <f t="shared" si="39"/>
        <v>0</v>
      </c>
      <c r="GZ17" s="888">
        <f t="shared" si="52"/>
        <v>111025.9</v>
      </c>
      <c r="HA17" s="12">
        <v>100000</v>
      </c>
      <c r="HB17" s="11">
        <v>165000</v>
      </c>
      <c r="HC17" s="16">
        <v>165000</v>
      </c>
      <c r="HD17" s="69"/>
      <c r="HE17" s="41">
        <f t="shared" si="40"/>
        <v>7.8270065710139419E-2</v>
      </c>
      <c r="HF17" s="326"/>
      <c r="HG17" s="16">
        <v>0</v>
      </c>
      <c r="HH17" s="23">
        <f>HC17-HB17</f>
        <v>0</v>
      </c>
      <c r="HI17" s="22">
        <f t="shared" si="41"/>
        <v>16500</v>
      </c>
      <c r="HJ17" s="52">
        <f t="shared" si="42"/>
        <v>71844.100000000006</v>
      </c>
      <c r="HK17" s="23">
        <f t="shared" si="43"/>
        <v>0</v>
      </c>
      <c r="HL17" s="51"/>
      <c r="HM17" s="51"/>
      <c r="HN17" s="40">
        <v>666201.89926500001</v>
      </c>
      <c r="HO17" s="40">
        <v>200000</v>
      </c>
      <c r="HP17" s="22">
        <f t="shared" si="44"/>
        <v>91844.1</v>
      </c>
      <c r="HQ17" s="40">
        <v>206916.91</v>
      </c>
      <c r="HR17" s="22">
        <f t="shared" si="45"/>
        <v>112535.791</v>
      </c>
      <c r="HS17" s="53">
        <f t="shared" si="46"/>
        <v>0.42322822103740099</v>
      </c>
      <c r="HT17" s="40">
        <v>115301.53</v>
      </c>
      <c r="HU17" s="589"/>
      <c r="HV17" s="590">
        <v>179385.62</v>
      </c>
      <c r="HW17" s="42">
        <f t="shared" si="47"/>
        <v>2774287.5192650002</v>
      </c>
      <c r="HX17" s="243"/>
      <c r="HY17" s="243">
        <f t="shared" si="48"/>
        <v>0</v>
      </c>
      <c r="HZ17" s="118"/>
      <c r="IA17" s="243"/>
      <c r="IB17" s="243"/>
      <c r="IC17" s="118"/>
      <c r="ID17" s="118"/>
      <c r="IE17" s="243"/>
      <c r="IF17" s="118"/>
      <c r="IG17" s="243"/>
      <c r="IH17" s="118"/>
      <c r="II17" s="243"/>
      <c r="IJ17" s="119"/>
      <c r="IK17" s="403"/>
      <c r="IL17" s="338"/>
      <c r="IM17" s="338"/>
      <c r="IN17" s="126"/>
      <c r="IO17" s="243"/>
      <c r="IP17" s="126"/>
      <c r="IQ17" s="243"/>
      <c r="IR17" s="404"/>
      <c r="IS17" s="404"/>
      <c r="IT17" s="404"/>
      <c r="IU17" s="404"/>
      <c r="IV17" s="286"/>
      <c r="IW17" s="286"/>
      <c r="IX17" s="286"/>
      <c r="IY17" s="286"/>
      <c r="IZ17" s="286"/>
      <c r="JA17" s="286"/>
      <c r="JB17" s="243"/>
      <c r="JC17" s="126"/>
      <c r="JD17" s="119"/>
      <c r="JE17" s="126"/>
      <c r="JF17" s="126"/>
      <c r="JG17" s="119"/>
    </row>
    <row r="18" spans="1:267" ht="24.95" customHeight="1">
      <c r="A18" s="24" t="s">
        <v>33</v>
      </c>
      <c r="B18" s="8" t="s">
        <v>31</v>
      </c>
      <c r="C18" s="8" t="s">
        <v>113</v>
      </c>
      <c r="D18" s="8">
        <v>2013</v>
      </c>
      <c r="E18" s="8" t="s">
        <v>32</v>
      </c>
      <c r="F18" s="8" t="s">
        <v>30</v>
      </c>
      <c r="G18" s="8" t="s">
        <v>519</v>
      </c>
      <c r="H18" s="8" t="s">
        <v>260</v>
      </c>
      <c r="I18" s="56"/>
      <c r="J18" s="56"/>
      <c r="K18" s="272" t="s">
        <v>549</v>
      </c>
      <c r="L18" s="567" t="s">
        <v>64</v>
      </c>
      <c r="M18" s="567" t="s">
        <v>128</v>
      </c>
      <c r="N18" s="567" t="s">
        <v>129</v>
      </c>
      <c r="O18" s="217">
        <v>4625</v>
      </c>
      <c r="P18" s="217">
        <v>215000</v>
      </c>
      <c r="Q18" s="217">
        <v>104244</v>
      </c>
      <c r="R18" s="217">
        <f t="shared" si="61"/>
        <v>15357.142857142857</v>
      </c>
      <c r="S18" s="217">
        <f t="shared" si="62"/>
        <v>46.486486486486484</v>
      </c>
      <c r="T18" s="217">
        <f t="shared" si="63"/>
        <v>22.539243243243245</v>
      </c>
      <c r="U18" s="217">
        <f t="shared" si="64"/>
        <v>91.472596128534079</v>
      </c>
      <c r="V18" s="217">
        <f t="shared" si="65"/>
        <v>7446</v>
      </c>
      <c r="W18" s="217">
        <f t="shared" si="66"/>
        <v>330.35714285714283</v>
      </c>
      <c r="X18" s="218">
        <v>1148.97</v>
      </c>
      <c r="Y18" s="219">
        <f t="shared" si="67"/>
        <v>0.2464043243243243</v>
      </c>
      <c r="Z18" s="218" t="s">
        <v>213</v>
      </c>
      <c r="AA18" s="220">
        <v>20</v>
      </c>
      <c r="AB18" s="221"/>
      <c r="AC18" s="8" t="s">
        <v>16</v>
      </c>
      <c r="AD18" s="342">
        <f t="shared" si="0"/>
        <v>14</v>
      </c>
      <c r="AE18" s="9"/>
      <c r="AF18" s="8">
        <v>14</v>
      </c>
      <c r="AG18" s="56"/>
      <c r="AH18" s="56"/>
      <c r="AI18" s="10">
        <v>1044.56</v>
      </c>
      <c r="AJ18" s="85">
        <v>1139.6199999999999</v>
      </c>
      <c r="AK18" s="10">
        <f t="shared" si="1"/>
        <v>81.401428571428568</v>
      </c>
      <c r="AL18" s="62"/>
      <c r="AM18" s="62"/>
      <c r="AN18" s="62"/>
      <c r="AO18" s="62"/>
      <c r="AP18" s="62"/>
      <c r="AQ18" s="10"/>
      <c r="AR18" s="79">
        <v>551.16</v>
      </c>
      <c r="AS18" s="81">
        <f t="shared" si="68"/>
        <v>0.11916972972972972</v>
      </c>
      <c r="AT18" s="62">
        <v>1.5</v>
      </c>
      <c r="AU18" s="56" t="s">
        <v>625</v>
      </c>
      <c r="AV18" s="8" t="s">
        <v>122</v>
      </c>
      <c r="AW18" s="194">
        <v>41233</v>
      </c>
      <c r="AX18" s="194">
        <v>40963</v>
      </c>
      <c r="AY18" s="112" t="s">
        <v>11</v>
      </c>
      <c r="AZ18" s="112" t="s">
        <v>127</v>
      </c>
      <c r="BA18" s="576"/>
      <c r="BB18" s="214">
        <v>41515</v>
      </c>
      <c r="BC18" s="101"/>
      <c r="BD18" s="101">
        <v>41535</v>
      </c>
      <c r="BE18" s="214">
        <v>41544</v>
      </c>
      <c r="BF18" s="101"/>
      <c r="BG18" s="169">
        <v>41549</v>
      </c>
      <c r="BH18" s="212">
        <v>41575</v>
      </c>
      <c r="BI18" s="170">
        <f>DATE(YEAR(BH18),MONTH(BH18)+3,DAY(BH18))</f>
        <v>41667</v>
      </c>
      <c r="BJ18" s="170"/>
      <c r="BK18" s="320">
        <v>41659</v>
      </c>
      <c r="BL18" s="319">
        <f t="shared" si="3"/>
        <v>42389</v>
      </c>
      <c r="BM18" s="319">
        <f t="shared" si="4"/>
        <v>42755</v>
      </c>
      <c r="BN18" s="319" t="str">
        <f t="shared" si="59"/>
        <v>non</v>
      </c>
      <c r="BO18" s="170"/>
      <c r="BP18" s="578" t="s">
        <v>206</v>
      </c>
      <c r="BQ18" s="102"/>
      <c r="BR18" s="106"/>
      <c r="BS18" s="106"/>
      <c r="BT18" s="106"/>
      <c r="BU18" s="165" t="s">
        <v>145</v>
      </c>
      <c r="BV18" s="330">
        <v>41625</v>
      </c>
      <c r="BW18" s="266"/>
      <c r="BX18" s="166">
        <v>2345333.9</v>
      </c>
      <c r="BY18" s="172">
        <f t="shared" si="58"/>
        <v>42172</v>
      </c>
      <c r="BZ18" s="266">
        <f t="shared" si="60"/>
        <v>42355</v>
      </c>
      <c r="CA18" s="441">
        <v>41977</v>
      </c>
      <c r="CB18" s="266">
        <v>42262</v>
      </c>
      <c r="CC18" s="780">
        <f t="shared" si="69"/>
        <v>1.7</v>
      </c>
      <c r="CD18" s="617"/>
      <c r="CE18" s="448">
        <v>41848</v>
      </c>
      <c r="CF18" s="442">
        <v>2014</v>
      </c>
      <c r="CG18" s="601">
        <f t="shared" si="5"/>
        <v>11.1</v>
      </c>
      <c r="CH18" s="254">
        <v>14</v>
      </c>
      <c r="CI18" s="254">
        <f t="shared" si="6"/>
        <v>15</v>
      </c>
      <c r="CJ18" s="254">
        <f t="shared" si="7"/>
        <v>14</v>
      </c>
      <c r="CK18" s="254">
        <f t="shared" si="8"/>
        <v>15</v>
      </c>
      <c r="CL18" s="254">
        <f t="shared" si="9"/>
        <v>0</v>
      </c>
      <c r="CM18" s="254">
        <f t="shared" si="10"/>
        <v>0</v>
      </c>
      <c r="CN18" s="257">
        <f>73432.856036765/12</f>
        <v>6119.4046697304175</v>
      </c>
      <c r="CO18" s="257">
        <f t="shared" si="11"/>
        <v>0</v>
      </c>
      <c r="CP18" s="248" t="s">
        <v>129</v>
      </c>
      <c r="CQ18" s="751">
        <f t="shared" si="12"/>
        <v>42275</v>
      </c>
      <c r="CR18" s="448">
        <v>42276</v>
      </c>
      <c r="CS18" s="751"/>
      <c r="CT18" s="120">
        <v>42333</v>
      </c>
      <c r="CU18" s="877">
        <f t="shared" si="49"/>
        <v>2.2722222222222221</v>
      </c>
      <c r="CV18" s="120">
        <v>42530</v>
      </c>
      <c r="CW18" s="620" t="e">
        <f>DATE(YEAR(#REF!),MONTH(#REF!),DAY(#REF!)+10)</f>
        <v>#REF!</v>
      </c>
      <c r="CX18" s="453">
        <v>42313</v>
      </c>
      <c r="CY18" s="621">
        <v>2015</v>
      </c>
      <c r="CZ18" s="120"/>
      <c r="DA18" s="120">
        <v>42725</v>
      </c>
      <c r="DB18" s="120"/>
      <c r="DC18" s="120" t="s">
        <v>129</v>
      </c>
      <c r="DD18" s="120" t="s">
        <v>129</v>
      </c>
      <c r="DE18" s="120">
        <v>42555</v>
      </c>
      <c r="DF18" s="120">
        <v>42870</v>
      </c>
      <c r="DG18" s="120">
        <v>42660</v>
      </c>
      <c r="DH18" s="204">
        <v>42324</v>
      </c>
      <c r="DI18" s="204">
        <v>42402</v>
      </c>
      <c r="DJ18" s="309"/>
      <c r="DK18" s="309"/>
      <c r="DL18" s="56"/>
      <c r="DM18" s="210" t="s">
        <v>643</v>
      </c>
      <c r="DN18" s="210"/>
      <c r="DO18" s="194" t="s">
        <v>707</v>
      </c>
      <c r="DP18" s="247" t="s">
        <v>129</v>
      </c>
      <c r="DQ18" s="247"/>
      <c r="DR18" s="247" t="s">
        <v>129</v>
      </c>
      <c r="DS18" s="56"/>
      <c r="DT18" s="126"/>
      <c r="DU18" s="126"/>
      <c r="DV18" s="126"/>
      <c r="DW18" s="691" t="str">
        <f t="shared" si="14"/>
        <v>0</v>
      </c>
      <c r="DX18" s="126"/>
      <c r="DY18" s="126"/>
      <c r="DZ18" s="691" t="str">
        <f t="shared" si="15"/>
        <v>0</v>
      </c>
      <c r="EA18" s="126"/>
      <c r="EB18" s="126"/>
      <c r="EC18" s="691" t="str">
        <f t="shared" si="16"/>
        <v>0</v>
      </c>
      <c r="ED18" s="126"/>
      <c r="EE18" s="126"/>
      <c r="EF18" s="691" t="str">
        <f t="shared" si="17"/>
        <v>0</v>
      </c>
      <c r="EG18" s="133"/>
      <c r="EH18" s="745"/>
      <c r="EI18" s="691" t="str">
        <f t="shared" si="18"/>
        <v>0</v>
      </c>
      <c r="EJ18" s="243"/>
      <c r="EK18" s="126"/>
      <c r="EL18" s="243"/>
      <c r="EM18" s="691" t="str">
        <f t="shared" si="19"/>
        <v>0</v>
      </c>
      <c r="EN18" s="126"/>
      <c r="EO18" s="243"/>
      <c r="EP18" s="691" t="str">
        <f t="shared" si="20"/>
        <v>0</v>
      </c>
      <c r="EQ18" s="126"/>
      <c r="ER18" s="243"/>
      <c r="ES18" s="691" t="str">
        <f t="shared" si="21"/>
        <v>0</v>
      </c>
      <c r="ET18" s="747"/>
      <c r="EU18" s="743"/>
      <c r="EV18" s="694" t="str">
        <f t="shared" si="22"/>
        <v>0</v>
      </c>
      <c r="EW18" s="133"/>
      <c r="EX18" s="748"/>
      <c r="EY18" s="691" t="str">
        <f t="shared" si="23"/>
        <v>0</v>
      </c>
      <c r="EZ18" s="126"/>
      <c r="FA18" s="126"/>
      <c r="FB18" s="691" t="str">
        <f t="shared" si="24"/>
        <v>0</v>
      </c>
      <c r="FC18" s="126"/>
      <c r="FD18" s="126"/>
      <c r="FE18" s="691" t="str">
        <f t="shared" si="25"/>
        <v>0</v>
      </c>
      <c r="FF18" s="126"/>
      <c r="FG18" s="126"/>
      <c r="FH18" s="691" t="str">
        <f t="shared" si="26"/>
        <v>0</v>
      </c>
      <c r="FI18" s="126"/>
      <c r="FJ18" s="126"/>
      <c r="FK18" s="691" t="str">
        <f t="shared" si="27"/>
        <v>0</v>
      </c>
      <c r="FL18" s="126"/>
      <c r="FM18" s="126"/>
      <c r="FN18" s="126"/>
      <c r="FO18" s="701"/>
      <c r="FP18" s="701"/>
      <c r="FQ18" s="699">
        <f t="shared" si="28"/>
        <v>0</v>
      </c>
      <c r="FR18" s="701"/>
      <c r="FS18" s="701"/>
      <c r="FT18" s="723"/>
      <c r="FU18" s="723"/>
      <c r="FV18" s="727"/>
      <c r="FW18" s="727"/>
      <c r="FX18" s="728">
        <f t="shared" si="29"/>
        <v>0</v>
      </c>
      <c r="FY18" s="728">
        <f t="shared" si="30"/>
        <v>0</v>
      </c>
      <c r="FZ18" s="724"/>
      <c r="GA18" s="741" t="s">
        <v>886</v>
      </c>
      <c r="GB18" s="724"/>
      <c r="GC18" s="724"/>
      <c r="GD18" s="113" t="s">
        <v>121</v>
      </c>
      <c r="GE18" s="822">
        <v>2360150.41</v>
      </c>
      <c r="GF18" s="11">
        <f>+GP18+GU18+HB18</f>
        <v>2396286</v>
      </c>
      <c r="GG18" s="12">
        <f>GQ18+GV18+HC18+HV18</f>
        <v>2426621</v>
      </c>
      <c r="GH18" s="13">
        <f t="shared" si="31"/>
        <v>30335</v>
      </c>
      <c r="GI18" s="52">
        <f t="shared" si="50"/>
        <v>2323.1035076970211</v>
      </c>
      <c r="GJ18" s="52">
        <f t="shared" si="51"/>
        <v>173330.07142857142</v>
      </c>
      <c r="GK18" s="11">
        <v>2112298</v>
      </c>
      <c r="GL18" s="12">
        <v>2153147</v>
      </c>
      <c r="GM18" s="13">
        <f t="shared" si="34"/>
        <v>40849</v>
      </c>
      <c r="GN18" s="135">
        <f t="shared" si="35"/>
        <v>0.89999952342917333</v>
      </c>
      <c r="GO18" s="136"/>
      <c r="GP18" s="11">
        <v>601367</v>
      </c>
      <c r="GQ18" s="12">
        <v>642565</v>
      </c>
      <c r="GR18" s="70"/>
      <c r="GS18" s="22">
        <f t="shared" si="36"/>
        <v>45897.5</v>
      </c>
      <c r="GT18" s="38">
        <f t="shared" si="37"/>
        <v>41198</v>
      </c>
      <c r="GU18" s="11">
        <v>1294919</v>
      </c>
      <c r="GV18" s="12">
        <f t="shared" si="38"/>
        <v>1260196</v>
      </c>
      <c r="GW18" s="14">
        <v>284216</v>
      </c>
      <c r="GX18" s="14">
        <v>975980</v>
      </c>
      <c r="GY18" s="38">
        <f t="shared" si="39"/>
        <v>-34723</v>
      </c>
      <c r="GZ18" s="888">
        <f t="shared" si="52"/>
        <v>90014</v>
      </c>
      <c r="HA18" s="12"/>
      <c r="HB18" s="11">
        <v>500000</v>
      </c>
      <c r="HC18" s="12">
        <v>500000</v>
      </c>
      <c r="HD18" s="70"/>
      <c r="HE18" s="41">
        <f t="shared" si="40"/>
        <v>0.20604783359247283</v>
      </c>
      <c r="HF18" s="326"/>
      <c r="HG18" s="12">
        <v>0</v>
      </c>
      <c r="HH18" s="23">
        <f>HC18-HB18</f>
        <v>0</v>
      </c>
      <c r="HI18" s="22">
        <f t="shared" si="41"/>
        <v>35714.285714285717</v>
      </c>
      <c r="HJ18" s="52">
        <f t="shared" si="42"/>
        <v>81611.78571428571</v>
      </c>
      <c r="HK18" s="23">
        <f t="shared" si="43"/>
        <v>0</v>
      </c>
      <c r="HL18" s="51"/>
      <c r="HM18" s="51"/>
      <c r="HN18" s="40">
        <v>461213.14905750001</v>
      </c>
      <c r="HO18" s="40">
        <v>238500</v>
      </c>
      <c r="HP18" s="22">
        <f t="shared" si="44"/>
        <v>98647.5</v>
      </c>
      <c r="HQ18" s="40">
        <v>0</v>
      </c>
      <c r="HR18" s="22">
        <f t="shared" si="45"/>
        <v>98647.5</v>
      </c>
      <c r="HS18" s="53">
        <f t="shared" si="46"/>
        <v>0.49653574328412386</v>
      </c>
      <c r="HT18" s="40">
        <v>106433.17505000001</v>
      </c>
      <c r="HU18" s="40"/>
      <c r="HV18" s="590">
        <v>23860</v>
      </c>
      <c r="HW18" s="42">
        <f t="shared" si="47"/>
        <v>2887834.1490575001</v>
      </c>
      <c r="HX18" s="243">
        <v>118584</v>
      </c>
      <c r="HY18" s="243">
        <f t="shared" si="48"/>
        <v>58369</v>
      </c>
      <c r="HZ18" s="118">
        <v>40161</v>
      </c>
      <c r="IA18" s="243">
        <v>7820</v>
      </c>
      <c r="IB18" s="243"/>
      <c r="IC18" s="118"/>
      <c r="ID18" s="118">
        <v>41267</v>
      </c>
      <c r="IE18" s="243">
        <v>3939</v>
      </c>
      <c r="IF18" s="118">
        <v>41313</v>
      </c>
      <c r="IG18" s="243">
        <v>17030</v>
      </c>
      <c r="IH18" s="118">
        <v>11851</v>
      </c>
      <c r="II18" s="243">
        <v>11851</v>
      </c>
      <c r="IJ18" s="119">
        <v>41547</v>
      </c>
      <c r="IK18" s="403">
        <v>17729</v>
      </c>
      <c r="IL18" s="338"/>
      <c r="IM18" s="338"/>
      <c r="IN18" s="126"/>
      <c r="IO18" s="243"/>
      <c r="IP18" s="126"/>
      <c r="IQ18" s="243"/>
      <c r="IR18" s="404"/>
      <c r="IS18" s="404"/>
      <c r="IT18" s="404"/>
      <c r="IU18" s="404"/>
      <c r="IV18" s="286"/>
      <c r="IW18" s="286"/>
      <c r="IX18" s="286"/>
      <c r="IY18" s="286"/>
      <c r="IZ18" s="286"/>
      <c r="JA18" s="286"/>
      <c r="JB18" s="243">
        <v>17030</v>
      </c>
      <c r="JC18" s="126"/>
      <c r="JD18" s="119"/>
      <c r="JE18" s="126"/>
      <c r="JF18" s="126"/>
      <c r="JG18" s="119"/>
    </row>
    <row r="19" spans="1:267" ht="72" customHeight="1">
      <c r="A19" s="86" t="s">
        <v>333</v>
      </c>
      <c r="B19" s="8" t="s">
        <v>35</v>
      </c>
      <c r="C19" s="8" t="s">
        <v>113</v>
      </c>
      <c r="D19" s="8">
        <v>2012</v>
      </c>
      <c r="E19" s="8" t="s">
        <v>88</v>
      </c>
      <c r="F19" s="8" t="s">
        <v>94</v>
      </c>
      <c r="G19" s="8" t="s">
        <v>292</v>
      </c>
      <c r="H19" s="56" t="s">
        <v>260</v>
      </c>
      <c r="I19" s="56"/>
      <c r="J19" s="56"/>
      <c r="K19" s="272"/>
      <c r="L19" s="163"/>
      <c r="M19" s="163"/>
      <c r="N19" s="163"/>
      <c r="O19" s="217">
        <v>5530</v>
      </c>
      <c r="P19" s="217">
        <f>Q19</f>
        <v>1300000</v>
      </c>
      <c r="Q19" s="217">
        <v>1300000</v>
      </c>
      <c r="R19" s="217">
        <f t="shared" si="61"/>
        <v>17333.333333333332</v>
      </c>
      <c r="S19" s="217">
        <f t="shared" si="62"/>
        <v>235.08137432188065</v>
      </c>
      <c r="T19" s="217">
        <f t="shared" si="63"/>
        <v>235.08137432188065</v>
      </c>
      <c r="U19" s="217">
        <f t="shared" si="64"/>
        <v>198.20517589947033</v>
      </c>
      <c r="V19" s="217">
        <f t="shared" si="65"/>
        <v>17333.333333333332</v>
      </c>
      <c r="W19" s="217">
        <f t="shared" si="66"/>
        <v>73.733333333333334</v>
      </c>
      <c r="X19" s="217"/>
      <c r="Y19" s="219">
        <f t="shared" si="67"/>
        <v>1.1860506329113925</v>
      </c>
      <c r="Z19" s="218" t="s">
        <v>211</v>
      </c>
      <c r="AA19" s="220"/>
      <c r="AB19" s="221"/>
      <c r="AC19" s="8" t="s">
        <v>16</v>
      </c>
      <c r="AD19" s="342">
        <f t="shared" si="0"/>
        <v>75</v>
      </c>
      <c r="AE19" s="9"/>
      <c r="AF19" s="8">
        <v>75</v>
      </c>
      <c r="AG19" s="56"/>
      <c r="AH19" s="56"/>
      <c r="AI19" s="10">
        <v>6558.86</v>
      </c>
      <c r="AJ19" s="85">
        <v>6558.86</v>
      </c>
      <c r="AK19" s="10">
        <f t="shared" si="1"/>
        <v>87.451466666666661</v>
      </c>
      <c r="AL19" s="81">
        <f>5/AD19</f>
        <v>6.6666666666666666E-2</v>
      </c>
      <c r="AM19" s="81">
        <f>10/AD19</f>
        <v>0.13333333333333333</v>
      </c>
      <c r="AN19" s="81">
        <f>30/AD19</f>
        <v>0.4</v>
      </c>
      <c r="AO19" s="81">
        <f>25/AD19</f>
        <v>0.33333333333333331</v>
      </c>
      <c r="AP19" s="81">
        <f>5/AD19</f>
        <v>6.6666666666666666E-2</v>
      </c>
      <c r="AQ19" s="10">
        <v>697.88</v>
      </c>
      <c r="AR19" s="79">
        <v>0</v>
      </c>
      <c r="AS19" s="81">
        <f t="shared" si="68"/>
        <v>0</v>
      </c>
      <c r="AT19" s="60">
        <v>7</v>
      </c>
      <c r="AU19" s="59" t="s">
        <v>626</v>
      </c>
      <c r="AV19" s="10" t="s">
        <v>121</v>
      </c>
      <c r="AW19" s="56"/>
      <c r="AX19" s="194">
        <v>40963</v>
      </c>
      <c r="AY19" s="574" t="s">
        <v>12</v>
      </c>
      <c r="AZ19" s="574" t="s">
        <v>236</v>
      </c>
      <c r="BA19" s="2"/>
      <c r="BB19" s="214">
        <v>41094</v>
      </c>
      <c r="BC19" s="101"/>
      <c r="BD19" s="101"/>
      <c r="BE19" s="214">
        <v>41183</v>
      </c>
      <c r="BF19" s="101"/>
      <c r="BG19" s="579"/>
      <c r="BH19" s="211"/>
      <c r="BI19" s="104"/>
      <c r="BJ19" s="104"/>
      <c r="BK19" s="319">
        <v>41319</v>
      </c>
      <c r="BL19" s="319">
        <f t="shared" si="3"/>
        <v>42049</v>
      </c>
      <c r="BM19" s="319">
        <f t="shared" si="4"/>
        <v>42414</v>
      </c>
      <c r="BN19" s="319" t="str">
        <f t="shared" si="59"/>
        <v>oui</v>
      </c>
      <c r="BO19" s="104"/>
      <c r="BP19" s="579"/>
      <c r="BQ19" s="104"/>
      <c r="BR19" s="116"/>
      <c r="BS19" s="116"/>
      <c r="BT19" s="116"/>
      <c r="BU19" s="165" t="s">
        <v>150</v>
      </c>
      <c r="BV19" s="330">
        <v>41270</v>
      </c>
      <c r="BW19" s="266"/>
      <c r="BX19" s="166">
        <v>12054387.02</v>
      </c>
      <c r="BY19" s="172">
        <f t="shared" si="58"/>
        <v>41817</v>
      </c>
      <c r="BZ19" s="266">
        <f t="shared" si="60"/>
        <v>42000</v>
      </c>
      <c r="CA19" s="441">
        <v>41617</v>
      </c>
      <c r="CB19" s="266">
        <v>42297</v>
      </c>
      <c r="CC19" s="780">
        <f t="shared" si="69"/>
        <v>1.1666666666666667</v>
      </c>
      <c r="CD19" s="617"/>
      <c r="CE19" s="448">
        <v>41428</v>
      </c>
      <c r="CF19" s="442">
        <v>2013</v>
      </c>
      <c r="CG19" s="601">
        <f t="shared" si="5"/>
        <v>11.133333333333333</v>
      </c>
      <c r="CH19" s="254">
        <v>20</v>
      </c>
      <c r="CI19" s="254">
        <f t="shared" si="6"/>
        <v>21</v>
      </c>
      <c r="CJ19" s="254">
        <f t="shared" si="7"/>
        <v>28</v>
      </c>
      <c r="CK19" s="254">
        <f t="shared" si="8"/>
        <v>29</v>
      </c>
      <c r="CL19" s="254">
        <f t="shared" si="9"/>
        <v>8</v>
      </c>
      <c r="CM19" s="254">
        <f t="shared" si="10"/>
        <v>8</v>
      </c>
      <c r="CN19" s="245">
        <f>399634.976353658/12</f>
        <v>33302.91469613817</v>
      </c>
      <c r="CO19" s="245">
        <f t="shared" si="11"/>
        <v>266423.31756910536</v>
      </c>
      <c r="CP19" s="248" t="s">
        <v>129</v>
      </c>
      <c r="CQ19" s="751">
        <f t="shared" si="12"/>
        <v>42038</v>
      </c>
      <c r="CR19" s="448">
        <v>42296</v>
      </c>
      <c r="CS19" s="830">
        <f>DATE(YEAR(CA19)+2,MONTH(CA19),DAY(CA19))</f>
        <v>42347</v>
      </c>
      <c r="CT19" s="120">
        <v>42332</v>
      </c>
      <c r="CU19" s="877">
        <f t="shared" si="49"/>
        <v>3.4388888888888887</v>
      </c>
      <c r="CV19" s="120"/>
      <c r="CW19" s="620">
        <v>42332</v>
      </c>
      <c r="CX19" s="453">
        <v>42332</v>
      </c>
      <c r="CY19" s="621">
        <v>2015</v>
      </c>
      <c r="CZ19" s="120"/>
      <c r="DA19" s="125">
        <v>42679</v>
      </c>
      <c r="DB19" s="125"/>
      <c r="DC19" s="125"/>
      <c r="DD19" s="125"/>
      <c r="DE19" s="125"/>
      <c r="DF19" s="120">
        <v>42656</v>
      </c>
      <c r="DG19" s="125"/>
      <c r="DH19" s="120" t="s">
        <v>129</v>
      </c>
      <c r="DI19" s="120">
        <v>42424</v>
      </c>
      <c r="DJ19" s="125"/>
      <c r="DK19" s="125"/>
      <c r="DL19" s="125"/>
      <c r="DM19" s="125"/>
      <c r="DN19" s="247">
        <v>43136</v>
      </c>
      <c r="DO19" s="247"/>
      <c r="DP19" s="247">
        <v>42808</v>
      </c>
      <c r="DQ19" s="247"/>
      <c r="DR19" s="125"/>
      <c r="DS19" s="125"/>
      <c r="DT19" s="126"/>
      <c r="DU19" s="126"/>
      <c r="DV19" s="126"/>
      <c r="DW19" s="691" t="str">
        <f t="shared" si="14"/>
        <v>0</v>
      </c>
      <c r="DX19" s="126"/>
      <c r="DY19" s="126"/>
      <c r="DZ19" s="691" t="str">
        <f t="shared" si="15"/>
        <v>0</v>
      </c>
      <c r="EA19" s="126"/>
      <c r="EB19" s="126"/>
      <c r="EC19" s="691" t="str">
        <f t="shared" si="16"/>
        <v>0</v>
      </c>
      <c r="ED19" s="126"/>
      <c r="EE19" s="126"/>
      <c r="EF19" s="691" t="str">
        <f t="shared" si="17"/>
        <v>0</v>
      </c>
      <c r="EG19" s="133"/>
      <c r="EH19" s="745"/>
      <c r="EI19" s="691" t="str">
        <f t="shared" si="18"/>
        <v>0</v>
      </c>
      <c r="EJ19" s="243"/>
      <c r="EK19" s="701"/>
      <c r="EL19" s="696"/>
      <c r="EM19" s="697" t="str">
        <f t="shared" si="19"/>
        <v>0</v>
      </c>
      <c r="EN19" s="701"/>
      <c r="EO19" s="696"/>
      <c r="EP19" s="697" t="str">
        <f t="shared" si="20"/>
        <v>0</v>
      </c>
      <c r="EQ19" s="701"/>
      <c r="ER19" s="696"/>
      <c r="ES19" s="697" t="str">
        <f t="shared" si="21"/>
        <v>0</v>
      </c>
      <c r="ET19" s="704"/>
      <c r="EU19" s="722"/>
      <c r="EV19" s="698" t="str">
        <f t="shared" si="22"/>
        <v>0</v>
      </c>
      <c r="EW19" s="699"/>
      <c r="EX19" s="700"/>
      <c r="EY19" s="697" t="str">
        <f t="shared" si="23"/>
        <v>0</v>
      </c>
      <c r="EZ19" s="696"/>
      <c r="FA19" s="701"/>
      <c r="FB19" s="697" t="str">
        <f t="shared" si="24"/>
        <v>0</v>
      </c>
      <c r="FC19" s="705"/>
      <c r="FD19" s="705"/>
      <c r="FE19" s="697" t="str">
        <f t="shared" si="25"/>
        <v>0</v>
      </c>
      <c r="FF19" s="705"/>
      <c r="FG19" s="703"/>
      <c r="FH19" s="697" t="str">
        <f t="shared" si="26"/>
        <v>0</v>
      </c>
      <c r="FI19" s="701"/>
      <c r="FJ19" s="701"/>
      <c r="FK19" s="697" t="str">
        <f t="shared" si="27"/>
        <v>0</v>
      </c>
      <c r="FL19" s="703"/>
      <c r="FM19" s="703"/>
      <c r="FN19" s="703"/>
      <c r="FO19" s="703"/>
      <c r="FP19" s="701"/>
      <c r="FQ19" s="699">
        <f t="shared" si="28"/>
        <v>0</v>
      </c>
      <c r="FR19" s="703"/>
      <c r="FS19" s="701">
        <f>CX19</f>
        <v>42332</v>
      </c>
      <c r="FT19" s="723"/>
      <c r="FU19" s="723"/>
      <c r="FV19" s="727"/>
      <c r="FW19" s="727"/>
      <c r="FX19" s="728">
        <f t="shared" si="29"/>
        <v>0</v>
      </c>
      <c r="FY19" s="728">
        <f t="shared" si="30"/>
        <v>1411.0666666666666</v>
      </c>
      <c r="FZ19" s="724"/>
      <c r="GA19" s="741" t="s">
        <v>877</v>
      </c>
      <c r="GB19" s="724"/>
      <c r="GC19" s="724"/>
      <c r="GD19" s="164"/>
      <c r="GE19" s="826">
        <v>11693100</v>
      </c>
      <c r="GF19" s="11">
        <v>12349548.309999999</v>
      </c>
      <c r="GG19" s="584">
        <f>GQ19+GV19+HC19+HV19+HA19+HG19</f>
        <v>12349548.309999999</v>
      </c>
      <c r="GH19" s="13">
        <f t="shared" si="31"/>
        <v>0</v>
      </c>
      <c r="GI19" s="52">
        <f t="shared" si="50"/>
        <v>1882.8803038942742</v>
      </c>
      <c r="GJ19" s="52">
        <f t="shared" si="51"/>
        <v>164660.64413333332</v>
      </c>
      <c r="GK19" s="11"/>
      <c r="GL19" s="12"/>
      <c r="GM19" s="13">
        <f t="shared" si="34"/>
        <v>0</v>
      </c>
      <c r="GN19" s="135">
        <f t="shared" si="35"/>
        <v>0</v>
      </c>
      <c r="GO19" s="136"/>
      <c r="GP19" s="11">
        <v>3816022.8</v>
      </c>
      <c r="GQ19" s="12">
        <v>3816022.8</v>
      </c>
      <c r="GR19" s="70"/>
      <c r="GS19" s="22">
        <f t="shared" si="36"/>
        <v>50880.303999999996</v>
      </c>
      <c r="GT19" s="38">
        <f t="shared" si="37"/>
        <v>0</v>
      </c>
      <c r="GU19" s="11">
        <v>7538525.5099999998</v>
      </c>
      <c r="GV19" s="12">
        <f t="shared" si="38"/>
        <v>7538525.5099999998</v>
      </c>
      <c r="GW19" s="14">
        <v>1459253.6</v>
      </c>
      <c r="GX19" s="14">
        <v>6079271.9100000001</v>
      </c>
      <c r="GY19" s="38">
        <f t="shared" si="39"/>
        <v>0</v>
      </c>
      <c r="GZ19" s="888">
        <f t="shared" si="52"/>
        <v>100513.67346666666</v>
      </c>
      <c r="HA19" s="12">
        <v>0</v>
      </c>
      <c r="HB19" s="11">
        <v>995000</v>
      </c>
      <c r="HC19" s="16">
        <v>995000</v>
      </c>
      <c r="HD19" s="69"/>
      <c r="HE19" s="41">
        <f t="shared" si="40"/>
        <v>8.0569748384586873E-2</v>
      </c>
      <c r="HF19" s="326"/>
      <c r="HG19" s="16">
        <v>0</v>
      </c>
      <c r="HH19" s="23">
        <f>HC19-HB19</f>
        <v>0</v>
      </c>
      <c r="HI19" s="22">
        <f t="shared" si="41"/>
        <v>13266.666666666666</v>
      </c>
      <c r="HJ19" s="52">
        <f t="shared" si="42"/>
        <v>64146.970666666661</v>
      </c>
      <c r="HK19" s="23">
        <f t="shared" si="43"/>
        <v>0</v>
      </c>
      <c r="HL19" s="51"/>
      <c r="HM19" s="51"/>
      <c r="HN19" s="40">
        <v>0</v>
      </c>
      <c r="HO19" s="40">
        <v>0</v>
      </c>
      <c r="HP19" s="22">
        <f t="shared" si="44"/>
        <v>64146.970666666661</v>
      </c>
      <c r="HQ19" s="40">
        <v>0</v>
      </c>
      <c r="HR19" s="22">
        <f t="shared" si="45"/>
        <v>64146.970666666661</v>
      </c>
      <c r="HS19" s="53">
        <f t="shared" si="46"/>
        <v>0.38957075021960869</v>
      </c>
      <c r="HT19" s="40"/>
      <c r="HU19" s="40"/>
      <c r="HV19" s="12"/>
      <c r="HW19" s="42">
        <f t="shared" si="47"/>
        <v>12349548.309999999</v>
      </c>
      <c r="HX19" s="243"/>
      <c r="HY19" s="243">
        <f t="shared" si="48"/>
        <v>0</v>
      </c>
      <c r="HZ19" s="118"/>
      <c r="IA19" s="243"/>
      <c r="IB19" s="243"/>
      <c r="IC19" s="118"/>
      <c r="ID19" s="118"/>
      <c r="IE19" s="243"/>
      <c r="IF19" s="118"/>
      <c r="IG19" s="243"/>
      <c r="IH19" s="118"/>
      <c r="II19" s="243"/>
      <c r="IJ19" s="119"/>
      <c r="IK19" s="403"/>
      <c r="IL19" s="338"/>
      <c r="IM19" s="338"/>
      <c r="IN19" s="126"/>
      <c r="IO19" s="243"/>
      <c r="IP19" s="126"/>
      <c r="IQ19" s="243"/>
      <c r="IR19" s="404"/>
      <c r="IS19" s="404"/>
      <c r="IT19" s="404"/>
      <c r="IU19" s="404"/>
      <c r="IV19" s="286"/>
      <c r="IW19" s="286"/>
      <c r="IX19" s="286"/>
      <c r="IY19" s="286"/>
      <c r="IZ19" s="286"/>
      <c r="JA19" s="286"/>
      <c r="JB19" s="243"/>
      <c r="JC19" s="126"/>
      <c r="JD19" s="119"/>
      <c r="JE19" s="126"/>
      <c r="JF19" s="126"/>
      <c r="JG19" s="119"/>
    </row>
    <row r="20" spans="1:267" ht="24.95" customHeight="1">
      <c r="A20" s="24" t="s">
        <v>81</v>
      </c>
      <c r="B20" s="8" t="s">
        <v>34</v>
      </c>
      <c r="C20" s="8" t="s">
        <v>114</v>
      </c>
      <c r="D20" s="8">
        <v>2012</v>
      </c>
      <c r="E20" s="8" t="s">
        <v>92</v>
      </c>
      <c r="F20" s="8" t="s">
        <v>419</v>
      </c>
      <c r="G20" s="8" t="s">
        <v>725</v>
      </c>
      <c r="H20" s="8" t="s">
        <v>260</v>
      </c>
      <c r="I20" s="56"/>
      <c r="J20" s="56"/>
      <c r="K20" s="502" t="s">
        <v>715</v>
      </c>
      <c r="L20" s="163"/>
      <c r="M20" s="163"/>
      <c r="N20" s="163"/>
      <c r="O20" s="217">
        <v>6156.15</v>
      </c>
      <c r="P20" s="217">
        <v>164070</v>
      </c>
      <c r="Q20" s="217">
        <v>163875</v>
      </c>
      <c r="R20" s="217">
        <f>P20/AD20</f>
        <v>7457.727272727273</v>
      </c>
      <c r="S20" s="217">
        <f>P20/O20</f>
        <v>26.651397383104701</v>
      </c>
      <c r="T20" s="217">
        <f>Q20/O20</f>
        <v>26.619721741672961</v>
      </c>
      <c r="U20" s="217">
        <f>Q20/AJ20</f>
        <v>97.053597867930122</v>
      </c>
      <c r="V20" s="217">
        <f>Q20/AD20</f>
        <v>7448.863636363636</v>
      </c>
      <c r="W20" s="217">
        <f>O20/AD20</f>
        <v>279.82499999999999</v>
      </c>
      <c r="X20" s="218"/>
      <c r="Y20" s="219">
        <f>AJ20/O20</f>
        <v>0.27427856696149383</v>
      </c>
      <c r="Z20" s="218" t="s">
        <v>197</v>
      </c>
      <c r="AA20" s="220">
        <v>890</v>
      </c>
      <c r="AB20" s="221"/>
      <c r="AC20" s="8" t="s">
        <v>16</v>
      </c>
      <c r="AD20" s="342">
        <f t="shared" ref="AD20:AD27" si="71">SUM(AE20:AH20)</f>
        <v>22</v>
      </c>
      <c r="AE20" s="9"/>
      <c r="AF20" s="8">
        <v>22</v>
      </c>
      <c r="AG20" s="56"/>
      <c r="AH20" s="56"/>
      <c r="AI20" s="10">
        <v>1688.5</v>
      </c>
      <c r="AJ20" s="85">
        <v>1688.5</v>
      </c>
      <c r="AK20" s="10">
        <f t="shared" ref="AK20:AK27" si="72">AJ20/AD20</f>
        <v>76.75</v>
      </c>
      <c r="AL20" s="81">
        <v>0</v>
      </c>
      <c r="AM20" s="81">
        <f>4/AD20</f>
        <v>0.18181818181818182</v>
      </c>
      <c r="AN20" s="81">
        <f>8/AD20</f>
        <v>0.36363636363636365</v>
      </c>
      <c r="AO20" s="81">
        <f>6/AD20</f>
        <v>0.27272727272727271</v>
      </c>
      <c r="AP20" s="81">
        <f>4/AD20</f>
        <v>0.18181818181818182</v>
      </c>
      <c r="AQ20" s="10">
        <f>96.15+803.85+941.6</f>
        <v>1841.6</v>
      </c>
      <c r="AR20" s="79"/>
      <c r="AS20" s="81">
        <f t="shared" ref="AS20:AS27" si="73">AR20/O20</f>
        <v>0</v>
      </c>
      <c r="AT20" s="60">
        <v>1.5</v>
      </c>
      <c r="AU20" s="62" t="s">
        <v>625</v>
      </c>
      <c r="AV20" s="10" t="s">
        <v>122</v>
      </c>
      <c r="AW20" s="56"/>
      <c r="AX20" s="194">
        <v>40963</v>
      </c>
      <c r="AY20" s="574" t="s">
        <v>11</v>
      </c>
      <c r="AZ20" s="574" t="s">
        <v>231</v>
      </c>
      <c r="BA20" s="2"/>
      <c r="BB20" s="214">
        <v>41177</v>
      </c>
      <c r="BC20" s="101"/>
      <c r="BD20" s="101"/>
      <c r="BE20" s="214">
        <v>41197</v>
      </c>
      <c r="BF20" s="101"/>
      <c r="BG20" s="579"/>
      <c r="BH20" s="211"/>
      <c r="BI20" s="104"/>
      <c r="BJ20" s="104"/>
      <c r="BK20" s="319">
        <v>41319</v>
      </c>
      <c r="BL20" s="319">
        <f t="shared" ref="BL20:BL27" si="74">DATE(YEAR(BK20),MONTH(BK20)+24,DAY(BK20))</f>
        <v>42049</v>
      </c>
      <c r="BM20" s="319">
        <f t="shared" ref="BM20:BM27" si="75">DATE(YEAR(BK20),MONTH(BK20)+36,DAY(BK20))</f>
        <v>42414</v>
      </c>
      <c r="BN20" s="319" t="str">
        <f>IF(CX20&gt;BL18,"oui","non")</f>
        <v>oui</v>
      </c>
      <c r="BO20" s="104"/>
      <c r="BP20" s="579"/>
      <c r="BQ20" s="104"/>
      <c r="BR20" s="116"/>
      <c r="BS20" s="116"/>
      <c r="BT20" s="116"/>
      <c r="BU20" s="165" t="s">
        <v>72</v>
      </c>
      <c r="BV20" s="330">
        <v>41256</v>
      </c>
      <c r="BW20" s="266" t="s">
        <v>129</v>
      </c>
      <c r="BX20" s="166">
        <v>3339290.63</v>
      </c>
      <c r="BY20" s="172">
        <f t="shared" ref="BY20:BY27" si="76">DATE(YEAR(BV20),MONTH(BV20)+18,DAY(BV20))</f>
        <v>41803</v>
      </c>
      <c r="BZ20" s="266">
        <f>DATE(YEAR(BV20),MONTH(BV20)+24,DAY(BV20))</f>
        <v>41986</v>
      </c>
      <c r="CA20" s="441">
        <v>41569</v>
      </c>
      <c r="CB20" s="266">
        <v>42051</v>
      </c>
      <c r="CC20" s="780">
        <f>(CX20-CB20)/30</f>
        <v>11.933333333333334</v>
      </c>
      <c r="CD20" s="617"/>
      <c r="CE20" s="448">
        <v>41295</v>
      </c>
      <c r="CF20" s="442">
        <v>2013</v>
      </c>
      <c r="CG20" s="601">
        <f t="shared" si="5"/>
        <v>3.9333333333333331</v>
      </c>
      <c r="CH20" s="254">
        <v>14</v>
      </c>
      <c r="CI20" s="121">
        <f t="shared" ref="CI20:CI27" si="77">CH20+1</f>
        <v>15</v>
      </c>
      <c r="CJ20" s="121">
        <f t="shared" ref="CJ20:CJ27" si="78">DATEDIF(CE20,CR20,"M")</f>
        <v>33</v>
      </c>
      <c r="CK20" s="121">
        <f t="shared" ref="CK20:CK27" si="79">DATEDIF(CE20,CX20,"M")</f>
        <v>36</v>
      </c>
      <c r="CL20" s="121">
        <f t="shared" ref="CL20:CL27" si="80">DATEDIF(CQ20,CR20,"M")</f>
        <v>19</v>
      </c>
      <c r="CM20" s="121">
        <f t="shared" ref="CM20:CM27" si="81">CK20-CI20</f>
        <v>21</v>
      </c>
      <c r="CN20" s="244">
        <f>106635.529075152/12</f>
        <v>8886.294089596</v>
      </c>
      <c r="CO20" s="244">
        <f>CN20*(CJ20-CH20)</f>
        <v>168839.587702324</v>
      </c>
      <c r="CP20" s="248" t="s">
        <v>129</v>
      </c>
      <c r="CQ20" s="751">
        <f t="shared" ref="CQ20:CQ27" si="82">DATE(YEAR(CE20),MONTH(CE20)+CH20,DAY(CE20))</f>
        <v>41719</v>
      </c>
      <c r="CR20" s="450">
        <v>42326</v>
      </c>
      <c r="CS20" s="620"/>
      <c r="CT20" s="248">
        <v>42338</v>
      </c>
      <c r="CU20" s="879">
        <f t="shared" si="49"/>
        <v>3.2250000000000001</v>
      </c>
      <c r="CV20" s="248">
        <v>42535</v>
      </c>
      <c r="CW20" s="839" t="s">
        <v>129</v>
      </c>
      <c r="CX20" s="453">
        <v>42409</v>
      </c>
      <c r="CY20" s="621">
        <v>2016</v>
      </c>
      <c r="CZ20" s="248"/>
      <c r="DA20" s="210">
        <v>42321</v>
      </c>
      <c r="DB20" s="210"/>
      <c r="DC20" s="210" t="s">
        <v>586</v>
      </c>
      <c r="DD20" s="210">
        <v>42348</v>
      </c>
      <c r="DE20" s="210">
        <v>42430</v>
      </c>
      <c r="DF20" s="210">
        <v>42869</v>
      </c>
      <c r="DG20" s="210">
        <f>DATE(YEAR(CR20)+1,MONTH(CR20),DAY(CR20))</f>
        <v>42692</v>
      </c>
      <c r="DH20" s="126">
        <v>42530</v>
      </c>
      <c r="DI20" s="126">
        <v>42531</v>
      </c>
      <c r="DJ20" s="126" t="s">
        <v>129</v>
      </c>
      <c r="DK20" s="126">
        <v>42884</v>
      </c>
      <c r="DL20" s="125"/>
      <c r="DM20" s="401" t="s">
        <v>589</v>
      </c>
      <c r="DN20" s="401"/>
      <c r="DO20" s="194" t="s">
        <v>594</v>
      </c>
      <c r="DP20" s="247">
        <v>42808</v>
      </c>
      <c r="DQ20" s="247" t="s">
        <v>129</v>
      </c>
      <c r="DR20" s="247">
        <v>42947</v>
      </c>
      <c r="DS20" s="125"/>
      <c r="DT20" s="126"/>
      <c r="DU20" s="126"/>
      <c r="DV20" s="126"/>
      <c r="DW20" s="691" t="str">
        <f t="shared" ref="DW20:DW27" si="83">IF(AND(DU20&gt;0,DV20&gt;0),DV20-DU20,"0")</f>
        <v>0</v>
      </c>
      <c r="DX20" s="126"/>
      <c r="DY20" s="126"/>
      <c r="DZ20" s="691" t="str">
        <f t="shared" ref="DZ20:DZ27" si="84">IF(AND(DX20&gt;0,DY20&gt;0),DY20-DX20,"0")</f>
        <v>0</v>
      </c>
      <c r="EA20" s="126"/>
      <c r="EB20" s="126"/>
      <c r="EC20" s="691" t="str">
        <f t="shared" ref="EC20:EC27" si="85">IF(AND(EA20&gt;0,EB20&gt;0),EB20-EA20,"0")</f>
        <v>0</v>
      </c>
      <c r="ED20" s="126"/>
      <c r="EE20" s="126"/>
      <c r="EF20" s="691" t="str">
        <f t="shared" ref="EF20:EF27" si="86">IF(AND(ED20&gt;0,EE20&gt;0),EE20-ED20,"0")</f>
        <v>0</v>
      </c>
      <c r="EG20" s="133"/>
      <c r="EH20" s="745"/>
      <c r="EI20" s="691" t="str">
        <f t="shared" ref="EI20:EI27" si="87">IF(AND(EG20&gt;0,EH20&gt;0),EH20-EG20,"0")</f>
        <v>0</v>
      </c>
      <c r="EJ20" s="243"/>
      <c r="EK20" s="701"/>
      <c r="EL20" s="696"/>
      <c r="EM20" s="697" t="str">
        <f t="shared" ref="EM20:EM27" si="88">IF(AND(EK20&gt;0,EL20&gt;0),EL20-EK20,"0")</f>
        <v>0</v>
      </c>
      <c r="EN20" s="701"/>
      <c r="EO20" s="696"/>
      <c r="EP20" s="697" t="str">
        <f t="shared" ref="EP20:EP27" si="89">IF(AND(EN20&gt;0,EO20&gt;0),EO20-EN20,"0")</f>
        <v>0</v>
      </c>
      <c r="EQ20" s="701"/>
      <c r="ER20" s="696"/>
      <c r="ES20" s="697" t="str">
        <f t="shared" ref="ES20:ES27" si="90">IF(AND(EQ20&gt;0,ER20&gt;0),ER20-EQ20,"0")</f>
        <v>0</v>
      </c>
      <c r="ET20" s="704"/>
      <c r="EU20" s="722"/>
      <c r="EV20" s="698" t="str">
        <f t="shared" ref="EV20:EV27" si="91">IF(AND(ET20&gt;0,EU20&gt;0),EU20-ET20,"0")</f>
        <v>0</v>
      </c>
      <c r="EW20" s="699"/>
      <c r="EX20" s="700">
        <f ca="1">IF(EW20&lt;TODAY(),TODAY(),EW20)</f>
        <v>43188</v>
      </c>
      <c r="EY20" s="697" t="str">
        <f t="shared" ref="EY20:EY27" ca="1" si="92">IF(AND(EW20&gt;0,EX20&gt;0),EX20-EW20,"0")</f>
        <v>0</v>
      </c>
      <c r="EZ20" s="696"/>
      <c r="FA20" s="701"/>
      <c r="FB20" s="697" t="str">
        <f t="shared" ref="FB20:FB27" si="93">IF(AND(EZ20&gt;0,FA20&gt;0),FA20-EZ20,"0")</f>
        <v>0</v>
      </c>
      <c r="FC20" s="705"/>
      <c r="FD20" s="705"/>
      <c r="FE20" s="697" t="str">
        <f t="shared" ref="FE20:FE27" si="94">IF(AND(FC20&gt;0,FD20&gt;0),FD20-FC20,"0")</f>
        <v>0</v>
      </c>
      <c r="FF20" s="705"/>
      <c r="FG20" s="703"/>
      <c r="FH20" s="697" t="str">
        <f t="shared" ref="FH20:FH27" si="95">IF(AND(FF20&gt;0,FG20&gt;0),FG20-FF20,"0")</f>
        <v>0</v>
      </c>
      <c r="FI20" s="701"/>
      <c r="FJ20" s="701"/>
      <c r="FK20" s="697" t="str">
        <f t="shared" ref="FK20:FK27" si="96">IF(AND(FI20&gt;0,FJ20&gt;0),FJ20-FI20,"0")</f>
        <v>0</v>
      </c>
      <c r="FL20" s="703"/>
      <c r="FM20" s="703"/>
      <c r="FN20" s="703"/>
      <c r="FO20" s="703"/>
      <c r="FP20" s="701"/>
      <c r="FQ20" s="699">
        <f t="shared" ref="FQ20:FQ27" si="97">(DATEDIF(EO20,FO20,"d"))/30</f>
        <v>0</v>
      </c>
      <c r="FR20" s="703"/>
      <c r="FS20" s="701">
        <f>CX20</f>
        <v>42409</v>
      </c>
      <c r="FT20" s="723"/>
      <c r="FU20" s="723"/>
      <c r="FV20" s="727">
        <v>125069</v>
      </c>
      <c r="FW20" s="727"/>
      <c r="FX20" s="728">
        <f t="shared" ref="FX20:FX27" si="98">(DW20+DZ20+EC20+EF20+EI20+EM20+EP20)/30</f>
        <v>0</v>
      </c>
      <c r="FY20" s="728">
        <f t="shared" ref="FY20:FY27" si="99">(FS20-FR20)/30</f>
        <v>1413.6333333333334</v>
      </c>
      <c r="FZ20" s="724"/>
      <c r="GA20" s="741" t="s">
        <v>879</v>
      </c>
      <c r="GB20" s="724"/>
      <c r="GC20" s="724"/>
      <c r="GD20" s="164"/>
      <c r="GE20" s="826">
        <v>3365389</v>
      </c>
      <c r="GF20" s="11">
        <v>3674939</v>
      </c>
      <c r="GG20" s="584">
        <f>GQ20+GV20+HC20+HV20+HA20+HG20+HD20</f>
        <v>3899161</v>
      </c>
      <c r="GH20" s="13">
        <f t="shared" ref="GH20:GH27" si="100">GG20-GF20</f>
        <v>224222</v>
      </c>
      <c r="GI20" s="52">
        <f t="shared" si="50"/>
        <v>2309.2454841575363</v>
      </c>
      <c r="GJ20" s="52">
        <f t="shared" si="51"/>
        <v>177234.59090909091</v>
      </c>
      <c r="GK20" s="11">
        <v>3169080</v>
      </c>
      <c r="GL20" s="12"/>
      <c r="GM20" s="13">
        <f t="shared" ref="GM20:GM27" si="101">GL20-GK20</f>
        <v>-3169080</v>
      </c>
      <c r="GN20" s="135">
        <f>GK20*1.021/GF20</f>
        <v>0.88045833685946884</v>
      </c>
      <c r="GO20" s="136"/>
      <c r="GP20" s="11">
        <v>929819</v>
      </c>
      <c r="GQ20" s="12">
        <v>929819</v>
      </c>
      <c r="GR20" s="70"/>
      <c r="GS20" s="22">
        <f t="shared" si="36"/>
        <v>42264.5</v>
      </c>
      <c r="GT20" s="38">
        <f t="shared" ref="GT20:GT27" si="102">GQ20-GP20</f>
        <v>0</v>
      </c>
      <c r="GU20" s="11">
        <v>1895079</v>
      </c>
      <c r="GV20" s="12">
        <f>+GW20+GX20</f>
        <v>1895079</v>
      </c>
      <c r="GW20" s="14">
        <v>328778</v>
      </c>
      <c r="GX20" s="14">
        <v>1566301</v>
      </c>
      <c r="GY20" s="38">
        <f t="shared" ref="GY20:GY27" si="103">GV20-GU20</f>
        <v>0</v>
      </c>
      <c r="GZ20" s="888">
        <f t="shared" si="52"/>
        <v>86139.954545454544</v>
      </c>
      <c r="HA20" s="12">
        <v>0</v>
      </c>
      <c r="HB20" s="11">
        <f>558000+110000</f>
        <v>668000</v>
      </c>
      <c r="HC20" s="16">
        <v>558000</v>
      </c>
      <c r="HD20" s="69">
        <v>110000</v>
      </c>
      <c r="HE20" s="41">
        <f t="shared" si="40"/>
        <v>0.14310770958162539</v>
      </c>
      <c r="HF20" s="892"/>
      <c r="HG20" s="16">
        <v>0</v>
      </c>
      <c r="HH20" s="23">
        <f>HC20-HB20+HD20</f>
        <v>0</v>
      </c>
      <c r="HI20" s="22">
        <f t="shared" si="41"/>
        <v>25363.636363636364</v>
      </c>
      <c r="HJ20" s="52">
        <f t="shared" si="42"/>
        <v>67628.136363636368</v>
      </c>
      <c r="HK20" s="23">
        <f t="shared" si="43"/>
        <v>0</v>
      </c>
      <c r="HL20" s="51"/>
      <c r="HM20" s="51"/>
      <c r="HN20" s="40">
        <v>1214321.7850000001</v>
      </c>
      <c r="HO20" s="40">
        <v>440000</v>
      </c>
      <c r="HP20" s="22">
        <f t="shared" si="44"/>
        <v>87628.136363636368</v>
      </c>
      <c r="HQ20" s="40">
        <v>91493</v>
      </c>
      <c r="HR20" s="22">
        <f t="shared" si="45"/>
        <v>91786.909090909088</v>
      </c>
      <c r="HS20" s="53">
        <f t="shared" ref="HS20:HS27" si="104">(GQ20+HC20+HO20+HQ20)/(HN20+GG20-HT20)</f>
        <v>0.40825799874371793</v>
      </c>
      <c r="HT20" s="40">
        <v>167316.375</v>
      </c>
      <c r="HU20" s="589"/>
      <c r="HV20" s="590">
        <v>406263</v>
      </c>
      <c r="HW20" s="42">
        <f t="shared" ref="HW20:HW27" si="105">GG20+HN20</f>
        <v>5113482.7850000001</v>
      </c>
      <c r="HX20" s="243"/>
      <c r="HY20" s="243">
        <f t="shared" ref="HY20:HY27" si="106">IA20+IC20+IE20+IG20+II20+IK20+IM20+IO20+IQ20+IS20+IU20+IW20+IY20+JA20+JC20+JE20+JG20</f>
        <v>0</v>
      </c>
      <c r="HZ20" s="118"/>
      <c r="IA20" s="243"/>
      <c r="IB20" s="243"/>
      <c r="IC20" s="118"/>
      <c r="ID20" s="118"/>
      <c r="IE20" s="243"/>
      <c r="IF20" s="118"/>
      <c r="IG20" s="243"/>
      <c r="IH20" s="118"/>
      <c r="II20" s="243"/>
      <c r="IJ20" s="119"/>
      <c r="IK20" s="403"/>
      <c r="IL20" s="338"/>
      <c r="IM20" s="338"/>
      <c r="IN20" s="126"/>
      <c r="IO20" s="243"/>
      <c r="IP20" s="126"/>
      <c r="IQ20" s="243"/>
      <c r="IR20" s="404"/>
      <c r="IS20" s="404"/>
      <c r="IT20" s="404"/>
      <c r="IU20" s="404"/>
      <c r="IV20" s="286"/>
      <c r="IW20" s="286"/>
      <c r="IX20" s="286"/>
      <c r="IY20" s="286"/>
      <c r="IZ20" s="286"/>
      <c r="JA20" s="286"/>
      <c r="JB20" s="243"/>
      <c r="JC20" s="126"/>
      <c r="JD20" s="119"/>
      <c r="JE20" s="126"/>
      <c r="JF20" s="126"/>
      <c r="JG20" s="119"/>
    </row>
    <row r="21" spans="1:267" ht="197.25" customHeight="1">
      <c r="A21" s="914" t="s">
        <v>425</v>
      </c>
      <c r="B21" s="8" t="s">
        <v>35</v>
      </c>
      <c r="C21" s="8" t="s">
        <v>113</v>
      </c>
      <c r="D21" s="8">
        <v>2013</v>
      </c>
      <c r="E21" s="8" t="s">
        <v>57</v>
      </c>
      <c r="F21" s="8" t="s">
        <v>564</v>
      </c>
      <c r="G21" s="8" t="s">
        <v>766</v>
      </c>
      <c r="H21" s="8" t="s">
        <v>260</v>
      </c>
      <c r="I21" s="56"/>
      <c r="J21" s="56"/>
      <c r="K21" s="272"/>
      <c r="L21" s="171" t="s">
        <v>65</v>
      </c>
      <c r="M21" s="108" t="s">
        <v>72</v>
      </c>
      <c r="N21" s="109"/>
      <c r="O21" s="217">
        <f>1825+425</f>
        <v>2250</v>
      </c>
      <c r="P21" s="217">
        <v>102507</v>
      </c>
      <c r="Q21" s="217">
        <v>68451</v>
      </c>
      <c r="R21" s="217">
        <f>P21/AD21</f>
        <v>11389.666666666666</v>
      </c>
      <c r="S21" s="217">
        <f>P21/O21</f>
        <v>45.558666666666667</v>
      </c>
      <c r="T21" s="223">
        <f>Q21/O21</f>
        <v>30.422666666666668</v>
      </c>
      <c r="U21" s="223">
        <f>Q21/AJ21</f>
        <v>96.496842223976543</v>
      </c>
      <c r="V21" s="223">
        <f>Q21/AD21</f>
        <v>7605.666666666667</v>
      </c>
      <c r="W21" s="217">
        <f>O21/AD21</f>
        <v>250</v>
      </c>
      <c r="X21" s="218"/>
      <c r="Y21" s="219">
        <f>AJ21/O21</f>
        <v>0.31527111111111111</v>
      </c>
      <c r="Z21" s="218" t="s">
        <v>210</v>
      </c>
      <c r="AA21" s="220"/>
      <c r="AB21" s="221"/>
      <c r="AC21" s="8" t="s">
        <v>16</v>
      </c>
      <c r="AD21" s="342">
        <f t="shared" si="71"/>
        <v>9</v>
      </c>
      <c r="AE21" s="9"/>
      <c r="AF21" s="8">
        <v>9</v>
      </c>
      <c r="AG21" s="56"/>
      <c r="AH21" s="56"/>
      <c r="AI21" s="10">
        <v>709.36</v>
      </c>
      <c r="AJ21" s="85">
        <v>709.36</v>
      </c>
      <c r="AK21" s="10">
        <f t="shared" si="72"/>
        <v>78.817777777777778</v>
      </c>
      <c r="AL21" s="81">
        <v>0</v>
      </c>
      <c r="AM21" s="81">
        <v>0</v>
      </c>
      <c r="AN21" s="81">
        <f>4/AD21</f>
        <v>0.44444444444444442</v>
      </c>
      <c r="AO21" s="81">
        <f>4/AD21</f>
        <v>0.44444444444444442</v>
      </c>
      <c r="AP21" s="81">
        <f>1/AD21</f>
        <v>0.1111111111111111</v>
      </c>
      <c r="AQ21" s="10"/>
      <c r="AR21" s="79" t="s">
        <v>337</v>
      </c>
      <c r="AS21" s="81" t="e">
        <f t="shared" si="73"/>
        <v>#VALUE!</v>
      </c>
      <c r="AT21" s="60">
        <v>2</v>
      </c>
      <c r="AU21" s="59" t="s">
        <v>626</v>
      </c>
      <c r="AV21" s="8"/>
      <c r="AW21" s="56"/>
      <c r="AX21" s="194">
        <v>40963</v>
      </c>
      <c r="AY21" s="112" t="s">
        <v>11</v>
      </c>
      <c r="AZ21" s="112" t="s">
        <v>127</v>
      </c>
      <c r="BA21" s="576"/>
      <c r="BB21" s="214">
        <v>41486</v>
      </c>
      <c r="BC21" s="101"/>
      <c r="BD21" s="101">
        <v>41516</v>
      </c>
      <c r="BE21" s="214">
        <v>41519</v>
      </c>
      <c r="BF21" s="101"/>
      <c r="BG21" s="169">
        <v>41549</v>
      </c>
      <c r="BH21" s="212">
        <v>41576</v>
      </c>
      <c r="BI21" s="170">
        <f>DATE(YEAR(BH21),MONTH(BH21)+3,DAY(BH21))</f>
        <v>41668</v>
      </c>
      <c r="BJ21" s="170"/>
      <c r="BK21" s="320">
        <v>41659</v>
      </c>
      <c r="BL21" s="319">
        <f t="shared" si="74"/>
        <v>42389</v>
      </c>
      <c r="BM21" s="319">
        <f t="shared" si="75"/>
        <v>42755</v>
      </c>
      <c r="BN21" s="319" t="str">
        <f t="shared" ref="BN21:BN27" si="107">IF(CX21&gt;BL21,"oui","non")</f>
        <v>oui</v>
      </c>
      <c r="BO21" s="170"/>
      <c r="BP21" s="578" t="s">
        <v>182</v>
      </c>
      <c r="BQ21" s="102"/>
      <c r="BR21" s="103"/>
      <c r="BS21" s="106"/>
      <c r="BT21" s="106"/>
      <c r="BU21" s="165" t="s">
        <v>72</v>
      </c>
      <c r="BV21" s="330">
        <v>41625</v>
      </c>
      <c r="BW21" s="266"/>
      <c r="BX21" s="166">
        <f>1479199.4/1.021</f>
        <v>1448775.1224289911</v>
      </c>
      <c r="BY21" s="172">
        <f t="shared" si="76"/>
        <v>42172</v>
      </c>
      <c r="BZ21" s="266">
        <f>DATE(YEAR(BV21),MONTH(BV21)+24,DAY(BV21))</f>
        <v>42355</v>
      </c>
      <c r="CA21" s="441">
        <v>42066</v>
      </c>
      <c r="CB21" s="266">
        <v>42200</v>
      </c>
      <c r="CC21" s="780">
        <f>(CX21-CB21)/30</f>
        <v>12.566666666666666</v>
      </c>
      <c r="CD21" s="617"/>
      <c r="CE21" s="448">
        <v>41900</v>
      </c>
      <c r="CF21" s="442">
        <v>2014</v>
      </c>
      <c r="CG21" s="601">
        <f t="shared" si="5"/>
        <v>13.8</v>
      </c>
      <c r="CH21" s="121">
        <v>13</v>
      </c>
      <c r="CI21" s="128">
        <f t="shared" si="77"/>
        <v>14</v>
      </c>
      <c r="CJ21" s="255">
        <f t="shared" si="78"/>
        <v>17</v>
      </c>
      <c r="CK21" s="255">
        <f t="shared" si="79"/>
        <v>22</v>
      </c>
      <c r="CL21" s="255">
        <f t="shared" si="80"/>
        <v>4</v>
      </c>
      <c r="CM21" s="255">
        <f t="shared" si="81"/>
        <v>8</v>
      </c>
      <c r="CN21" s="245">
        <f>45210.5570752773/12</f>
        <v>3767.5464229397749</v>
      </c>
      <c r="CO21" s="245">
        <f>CN21*(CJ21-CH21)</f>
        <v>15070.185691759099</v>
      </c>
      <c r="CP21" s="248" t="s">
        <v>129</v>
      </c>
      <c r="CQ21" s="751">
        <f t="shared" si="82"/>
        <v>42295</v>
      </c>
      <c r="CR21" s="448">
        <v>42424</v>
      </c>
      <c r="CS21" s="830">
        <f>DATE(YEAR(CA21)+2,MONTH(CA21),DAY(CA21))</f>
        <v>42797</v>
      </c>
      <c r="CT21" s="248">
        <v>42566</v>
      </c>
      <c r="CU21" s="879">
        <f t="shared" si="49"/>
        <v>3</v>
      </c>
      <c r="CV21" s="248">
        <v>42613</v>
      </c>
      <c r="CW21" s="839">
        <v>42577</v>
      </c>
      <c r="CX21" s="453">
        <v>42577</v>
      </c>
      <c r="CY21" s="621">
        <v>2016</v>
      </c>
      <c r="CZ21" s="248"/>
      <c r="DA21" s="210" t="s">
        <v>129</v>
      </c>
      <c r="DB21" s="210"/>
      <c r="DC21" s="210" t="s">
        <v>129</v>
      </c>
      <c r="DD21" s="210" t="s">
        <v>129</v>
      </c>
      <c r="DE21" s="253">
        <v>42768</v>
      </c>
      <c r="DF21" s="863" t="s">
        <v>587</v>
      </c>
      <c r="DG21" s="210">
        <f>DATE(YEAR(CR21)+1,MONTH(CR21),DAY(CR21))</f>
        <v>42790</v>
      </c>
      <c r="DH21" s="253">
        <v>42621</v>
      </c>
      <c r="DI21" s="253">
        <v>42688</v>
      </c>
      <c r="DJ21" s="56"/>
      <c r="DK21" s="56"/>
      <c r="DL21" s="56"/>
      <c r="DM21" s="126" t="s">
        <v>129</v>
      </c>
      <c r="DN21" s="126"/>
      <c r="DO21" s="58" t="s">
        <v>650</v>
      </c>
      <c r="DP21" s="247">
        <v>42808</v>
      </c>
      <c r="DQ21" s="247"/>
      <c r="DR21" s="56"/>
      <c r="DS21" s="56"/>
      <c r="DT21" s="126"/>
      <c r="DU21" s="126"/>
      <c r="DV21" s="126"/>
      <c r="DW21" s="691" t="str">
        <f t="shared" si="83"/>
        <v>0</v>
      </c>
      <c r="DX21" s="126"/>
      <c r="DY21" s="126"/>
      <c r="DZ21" s="691" t="str">
        <f t="shared" si="84"/>
        <v>0</v>
      </c>
      <c r="EA21" s="126"/>
      <c r="EB21" s="126"/>
      <c r="EC21" s="691" t="str">
        <f t="shared" si="85"/>
        <v>0</v>
      </c>
      <c r="ED21" s="126"/>
      <c r="EE21" s="126"/>
      <c r="EF21" s="691" t="str">
        <f t="shared" si="86"/>
        <v>0</v>
      </c>
      <c r="EG21" s="133"/>
      <c r="EH21" s="745"/>
      <c r="EI21" s="691" t="str">
        <f t="shared" si="87"/>
        <v>0</v>
      </c>
      <c r="EJ21" s="243"/>
      <c r="EK21" s="126"/>
      <c r="EL21" s="243"/>
      <c r="EM21" s="691" t="str">
        <f t="shared" si="88"/>
        <v>0</v>
      </c>
      <c r="EN21" s="126"/>
      <c r="EO21" s="243"/>
      <c r="EP21" s="691" t="str">
        <f t="shared" si="89"/>
        <v>0</v>
      </c>
      <c r="EQ21" s="126"/>
      <c r="ER21" s="243"/>
      <c r="ES21" s="691" t="str">
        <f t="shared" si="90"/>
        <v>0</v>
      </c>
      <c r="ET21" s="747"/>
      <c r="EU21" s="743"/>
      <c r="EV21" s="694" t="str">
        <f t="shared" si="91"/>
        <v>0</v>
      </c>
      <c r="EW21" s="133"/>
      <c r="EX21" s="748"/>
      <c r="EY21" s="691" t="str">
        <f t="shared" si="92"/>
        <v>0</v>
      </c>
      <c r="EZ21" s="243"/>
      <c r="FA21" s="126"/>
      <c r="FB21" s="691" t="str">
        <f t="shared" si="93"/>
        <v>0</v>
      </c>
      <c r="FC21" s="119"/>
      <c r="FD21" s="119"/>
      <c r="FE21" s="691" t="str">
        <f t="shared" si="94"/>
        <v>0</v>
      </c>
      <c r="FF21" s="119"/>
      <c r="FG21" s="119"/>
      <c r="FH21" s="691" t="str">
        <f t="shared" si="95"/>
        <v>0</v>
      </c>
      <c r="FI21" s="126"/>
      <c r="FJ21" s="126"/>
      <c r="FK21" s="691" t="str">
        <f t="shared" si="96"/>
        <v>0</v>
      </c>
      <c r="FL21" s="119"/>
      <c r="FM21" s="119"/>
      <c r="FN21" s="119"/>
      <c r="FO21" s="703"/>
      <c r="FP21" s="701"/>
      <c r="FQ21" s="699">
        <f t="shared" si="97"/>
        <v>0</v>
      </c>
      <c r="FR21" s="703"/>
      <c r="FS21" s="703"/>
      <c r="FT21" s="723"/>
      <c r="FU21" s="723"/>
      <c r="FV21" s="727"/>
      <c r="FW21" s="727"/>
      <c r="FX21" s="728">
        <f t="shared" si="98"/>
        <v>0</v>
      </c>
      <c r="FY21" s="728">
        <f t="shared" si="99"/>
        <v>0</v>
      </c>
      <c r="FZ21" s="724"/>
      <c r="GA21" s="741" t="s">
        <v>875</v>
      </c>
      <c r="GB21" s="724"/>
      <c r="GC21" s="724"/>
      <c r="GD21" s="113" t="s">
        <v>121</v>
      </c>
      <c r="GE21" s="822">
        <v>1547410</v>
      </c>
      <c r="GF21" s="11">
        <f>+GP21+GU21+HB21+HV21</f>
        <v>1517365</v>
      </c>
      <c r="GG21" s="12">
        <f>GQ21+GV21+HC21+HV21+HF21</f>
        <v>1553965</v>
      </c>
      <c r="GH21" s="13">
        <f t="shared" si="100"/>
        <v>36600</v>
      </c>
      <c r="GI21" s="52">
        <f t="shared" si="50"/>
        <v>2190.6577760234577</v>
      </c>
      <c r="GJ21" s="52">
        <f t="shared" si="51"/>
        <v>172662.77777777778</v>
      </c>
      <c r="GK21" s="11">
        <v>1337540</v>
      </c>
      <c r="GL21" s="12">
        <v>1322857</v>
      </c>
      <c r="GM21" s="13">
        <f t="shared" si="101"/>
        <v>-14683</v>
      </c>
      <c r="GN21" s="135">
        <f>GK21*1.021/GF21</f>
        <v>0.89999989455404594</v>
      </c>
      <c r="GO21" s="136"/>
      <c r="GP21" s="11">
        <v>424314</v>
      </c>
      <c r="GQ21" s="12">
        <v>426409</v>
      </c>
      <c r="GR21" s="70"/>
      <c r="GS21" s="22">
        <f t="shared" si="36"/>
        <v>47378.777777777781</v>
      </c>
      <c r="GT21" s="38">
        <f t="shared" si="102"/>
        <v>2095</v>
      </c>
      <c r="GU21" s="11">
        <v>868051</v>
      </c>
      <c r="GV21" s="12">
        <f>+GW21+GX21</f>
        <v>864010</v>
      </c>
      <c r="GW21" s="14">
        <v>176535</v>
      </c>
      <c r="GX21" s="14">
        <v>687475</v>
      </c>
      <c r="GY21" s="38">
        <f t="shared" si="103"/>
        <v>-4041</v>
      </c>
      <c r="GZ21" s="888">
        <f t="shared" si="52"/>
        <v>96001.111111111109</v>
      </c>
      <c r="HA21" s="12"/>
      <c r="HB21" s="11">
        <v>225000</v>
      </c>
      <c r="HC21" s="12">
        <v>225000</v>
      </c>
      <c r="HD21" s="70"/>
      <c r="HE21" s="41">
        <f t="shared" si="40"/>
        <v>0.14479090584408272</v>
      </c>
      <c r="HF21" s="892">
        <v>38546</v>
      </c>
      <c r="HG21" s="12">
        <v>0</v>
      </c>
      <c r="HH21" s="23">
        <f t="shared" ref="HH21:HH26" si="108">HC21-HB21</f>
        <v>0</v>
      </c>
      <c r="HI21" s="22">
        <f t="shared" si="41"/>
        <v>25000</v>
      </c>
      <c r="HJ21" s="84">
        <f t="shared" si="42"/>
        <v>72378.777777777781</v>
      </c>
      <c r="HK21" s="23">
        <f t="shared" si="43"/>
        <v>0</v>
      </c>
      <c r="HL21" s="51"/>
      <c r="HM21" s="51"/>
      <c r="HN21" s="40">
        <v>270120.19565000001</v>
      </c>
      <c r="HO21" s="40">
        <v>180000</v>
      </c>
      <c r="HP21" s="22">
        <f t="shared" si="44"/>
        <v>92378.777777777781</v>
      </c>
      <c r="HQ21" s="40">
        <v>0</v>
      </c>
      <c r="HR21" s="22">
        <f t="shared" si="45"/>
        <v>92378.777777777781</v>
      </c>
      <c r="HS21" s="53">
        <f t="shared" si="104"/>
        <v>0.47363006816549857</v>
      </c>
      <c r="HT21" s="40">
        <v>68687.774999999994</v>
      </c>
      <c r="HU21" s="589"/>
      <c r="HV21" s="590"/>
      <c r="HW21" s="42">
        <f t="shared" si="105"/>
        <v>1824085.1956500001</v>
      </c>
      <c r="HX21" s="243">
        <v>79167</v>
      </c>
      <c r="HY21" s="243">
        <f t="shared" si="106"/>
        <v>39036</v>
      </c>
      <c r="HZ21" s="118"/>
      <c r="IA21" s="243"/>
      <c r="IB21" s="243"/>
      <c r="IC21" s="118"/>
      <c r="ID21" s="118"/>
      <c r="IE21" s="243"/>
      <c r="IF21" s="118">
        <v>40941</v>
      </c>
      <c r="IG21" s="243">
        <v>16481</v>
      </c>
      <c r="IH21" s="118">
        <v>41254</v>
      </c>
      <c r="II21" s="243">
        <v>10844</v>
      </c>
      <c r="IJ21" s="119">
        <v>41508</v>
      </c>
      <c r="IK21" s="403">
        <v>11711</v>
      </c>
      <c r="IL21" s="338"/>
      <c r="IM21" s="338"/>
      <c r="IN21" s="126"/>
      <c r="IO21" s="243"/>
      <c r="IP21" s="126"/>
      <c r="IQ21" s="243"/>
      <c r="IR21" s="119"/>
      <c r="IS21" s="119"/>
      <c r="IT21" s="119"/>
      <c r="IU21" s="119"/>
      <c r="IV21" s="286"/>
      <c r="IW21" s="286"/>
      <c r="IX21" s="286"/>
      <c r="IY21" s="286"/>
      <c r="IZ21" s="286"/>
      <c r="JA21" s="286"/>
      <c r="JB21" s="243">
        <v>16481</v>
      </c>
      <c r="JC21" s="126"/>
      <c r="JD21" s="119"/>
      <c r="JE21" s="126"/>
      <c r="JF21" s="126"/>
      <c r="JG21" s="119"/>
    </row>
    <row r="22" spans="1:267" ht="106.5" customHeight="1">
      <c r="A22" s="914" t="s">
        <v>80</v>
      </c>
      <c r="B22" s="8" t="s">
        <v>34</v>
      </c>
      <c r="C22" s="8" t="s">
        <v>114</v>
      </c>
      <c r="D22" s="8">
        <v>2012</v>
      </c>
      <c r="E22" s="8" t="s">
        <v>91</v>
      </c>
      <c r="F22" s="8" t="s">
        <v>58</v>
      </c>
      <c r="G22" s="8" t="s">
        <v>519</v>
      </c>
      <c r="H22" s="8" t="s">
        <v>260</v>
      </c>
      <c r="I22" s="56"/>
      <c r="J22" s="56" t="s">
        <v>413</v>
      </c>
      <c r="K22" s="272" t="s">
        <v>550</v>
      </c>
      <c r="L22" s="163"/>
      <c r="M22" s="163"/>
      <c r="N22" s="163"/>
      <c r="O22" s="217">
        <v>7382</v>
      </c>
      <c r="P22" s="217">
        <v>243429</v>
      </c>
      <c r="Q22" s="217">
        <v>239545</v>
      </c>
      <c r="R22" s="217">
        <f>P22/AD22</f>
        <v>10142.875</v>
      </c>
      <c r="S22" s="217">
        <f>P22/O22</f>
        <v>32.976022758060147</v>
      </c>
      <c r="T22" s="217">
        <f>Q22/O22</f>
        <v>32.449878081820643</v>
      </c>
      <c r="U22" s="217">
        <f>Q22/AJ22</f>
        <v>118.47636852830038</v>
      </c>
      <c r="V22" s="217">
        <f>Q22/AD22</f>
        <v>9981.0416666666661</v>
      </c>
      <c r="W22" s="217">
        <f>O22/AD22</f>
        <v>307.58333333333331</v>
      </c>
      <c r="X22" s="218"/>
      <c r="Y22" s="219">
        <f>AJ22/O22</f>
        <v>0.27389325386074237</v>
      </c>
      <c r="Z22" s="218" t="s">
        <v>197</v>
      </c>
      <c r="AA22" s="220">
        <v>750</v>
      </c>
      <c r="AB22" s="221">
        <v>0.3</v>
      </c>
      <c r="AC22" s="8" t="s">
        <v>16</v>
      </c>
      <c r="AD22" s="342">
        <f t="shared" si="71"/>
        <v>24</v>
      </c>
      <c r="AE22" s="9"/>
      <c r="AF22" s="8">
        <v>24</v>
      </c>
      <c r="AG22" s="56"/>
      <c r="AH22" s="56"/>
      <c r="AI22" s="10">
        <v>2021.88</v>
      </c>
      <c r="AJ22" s="85">
        <v>2021.88</v>
      </c>
      <c r="AK22" s="10">
        <f t="shared" si="72"/>
        <v>84.245000000000005</v>
      </c>
      <c r="AL22" s="62"/>
      <c r="AM22" s="62"/>
      <c r="AN22" s="62"/>
      <c r="AO22" s="62"/>
      <c r="AP22" s="62"/>
      <c r="AQ22" s="10">
        <v>1700</v>
      </c>
      <c r="AR22" s="79">
        <v>486</v>
      </c>
      <c r="AS22" s="81">
        <f t="shared" si="73"/>
        <v>6.5835816851801676E-2</v>
      </c>
      <c r="AT22" s="60">
        <v>1.5</v>
      </c>
      <c r="AU22" s="59" t="s">
        <v>626</v>
      </c>
      <c r="AV22" s="10"/>
      <c r="AW22" s="56"/>
      <c r="AX22" s="194">
        <v>40963</v>
      </c>
      <c r="AY22" s="574" t="s">
        <v>11</v>
      </c>
      <c r="AZ22" s="574" t="s">
        <v>231</v>
      </c>
      <c r="BA22" s="2"/>
      <c r="BB22" s="214">
        <v>41170</v>
      </c>
      <c r="BC22" s="101"/>
      <c r="BD22" s="101"/>
      <c r="BE22" s="214">
        <v>41232</v>
      </c>
      <c r="BF22" s="101"/>
      <c r="BG22" s="579"/>
      <c r="BH22" s="211"/>
      <c r="BI22" s="104"/>
      <c r="BJ22" s="104"/>
      <c r="BK22" s="319">
        <v>41319</v>
      </c>
      <c r="BL22" s="319">
        <f t="shared" si="74"/>
        <v>42049</v>
      </c>
      <c r="BM22" s="319">
        <f t="shared" si="75"/>
        <v>42414</v>
      </c>
      <c r="BN22" s="319" t="str">
        <f t="shared" si="107"/>
        <v>oui</v>
      </c>
      <c r="BO22" s="104"/>
      <c r="BP22" s="579"/>
      <c r="BQ22" s="104"/>
      <c r="BR22" s="116"/>
      <c r="BS22" s="116"/>
      <c r="BT22" s="116"/>
      <c r="BU22" s="165" t="s">
        <v>72</v>
      </c>
      <c r="BV22" s="330">
        <v>41256</v>
      </c>
      <c r="BW22" s="266"/>
      <c r="BX22" s="166">
        <f>3849124.53/1.021</f>
        <v>3769955.4652301664</v>
      </c>
      <c r="BY22" s="172">
        <f t="shared" si="76"/>
        <v>41803</v>
      </c>
      <c r="BZ22" s="266">
        <f>DATE(YEAR(BV22),MONTH(BV22)+24,DAY(BV22))</f>
        <v>41986</v>
      </c>
      <c r="CA22" s="441">
        <v>41850</v>
      </c>
      <c r="CB22" s="266">
        <v>42109</v>
      </c>
      <c r="CC22" s="780">
        <f>(CX22-CB22)/30</f>
        <v>17.266666666666666</v>
      </c>
      <c r="CD22" s="617"/>
      <c r="CE22" s="448">
        <v>41572</v>
      </c>
      <c r="CF22" s="442">
        <v>2013</v>
      </c>
      <c r="CG22" s="601">
        <f t="shared" si="5"/>
        <v>13.4</v>
      </c>
      <c r="CH22" s="121">
        <v>17</v>
      </c>
      <c r="CI22" s="121">
        <f t="shared" si="77"/>
        <v>18</v>
      </c>
      <c r="CJ22" s="121">
        <f t="shared" si="78"/>
        <v>34</v>
      </c>
      <c r="CK22" s="121">
        <f t="shared" si="79"/>
        <v>34</v>
      </c>
      <c r="CL22" s="121">
        <f t="shared" si="80"/>
        <v>17</v>
      </c>
      <c r="CM22" s="121">
        <f t="shared" si="81"/>
        <v>16</v>
      </c>
      <c r="CN22" s="257">
        <f>100906.540336335/12</f>
        <v>8408.8783613612504</v>
      </c>
      <c r="CO22" s="257">
        <f>CN22*(CJ22-CH22)</f>
        <v>142950.93214314125</v>
      </c>
      <c r="CP22" s="248">
        <v>42342</v>
      </c>
      <c r="CQ22" s="751">
        <f t="shared" si="82"/>
        <v>42088</v>
      </c>
      <c r="CR22" s="448">
        <v>42619</v>
      </c>
      <c r="CS22" s="751">
        <f>DATE(YEAR(CA22)+2,MONTH(CA22),DAY(CA22))</f>
        <v>42581</v>
      </c>
      <c r="CT22" s="248">
        <v>42633</v>
      </c>
      <c r="CU22" s="879">
        <f t="shared" si="49"/>
        <v>4.0638888888888891</v>
      </c>
      <c r="CV22" s="248" t="s">
        <v>518</v>
      </c>
      <c r="CW22" s="839" t="s">
        <v>129</v>
      </c>
      <c r="CX22" s="453">
        <v>42627</v>
      </c>
      <c r="CY22" s="621">
        <v>2016</v>
      </c>
      <c r="CZ22" s="248" t="s">
        <v>129</v>
      </c>
      <c r="DA22" s="210">
        <v>42702</v>
      </c>
      <c r="DB22" s="210"/>
      <c r="DC22" s="210" t="s">
        <v>129</v>
      </c>
      <c r="DD22" s="126" t="s">
        <v>129</v>
      </c>
      <c r="DE22" s="210">
        <v>42766</v>
      </c>
      <c r="DF22" s="210">
        <v>42979</v>
      </c>
      <c r="DG22" s="126">
        <f t="shared" ref="DG22" si="109">DATE(YEAR(CR22)+1,MONTH(CR22),DAY(CR22))</f>
        <v>42984</v>
      </c>
      <c r="DH22" s="210">
        <v>42716</v>
      </c>
      <c r="DI22" s="210">
        <v>42755</v>
      </c>
      <c r="DJ22" s="126"/>
      <c r="DK22" s="126"/>
      <c r="DL22" s="125"/>
      <c r="DM22" s="247">
        <v>42829</v>
      </c>
      <c r="DN22" s="127" t="s">
        <v>932</v>
      </c>
      <c r="DO22" s="783"/>
      <c r="DP22" s="247">
        <v>42808</v>
      </c>
      <c r="DQ22" s="193"/>
      <c r="DR22" s="125"/>
      <c r="DS22" s="125"/>
      <c r="DT22" s="126"/>
      <c r="DU22" s="126"/>
      <c r="DV22" s="126"/>
      <c r="DW22" s="691" t="str">
        <f t="shared" si="83"/>
        <v>0</v>
      </c>
      <c r="DX22" s="126"/>
      <c r="DY22" s="126"/>
      <c r="DZ22" s="691" t="str">
        <f t="shared" si="84"/>
        <v>0</v>
      </c>
      <c r="EA22" s="126"/>
      <c r="EB22" s="126"/>
      <c r="EC22" s="691" t="str">
        <f t="shared" si="85"/>
        <v>0</v>
      </c>
      <c r="ED22" s="126"/>
      <c r="EE22" s="126"/>
      <c r="EF22" s="691" t="str">
        <f t="shared" si="86"/>
        <v>0</v>
      </c>
      <c r="EG22" s="133"/>
      <c r="EH22" s="745"/>
      <c r="EI22" s="691" t="str">
        <f t="shared" si="87"/>
        <v>0</v>
      </c>
      <c r="EJ22" s="243"/>
      <c r="EK22" s="701"/>
      <c r="EL22" s="696"/>
      <c r="EM22" s="697" t="str">
        <f t="shared" si="88"/>
        <v>0</v>
      </c>
      <c r="EN22" s="701"/>
      <c r="EO22" s="696"/>
      <c r="EP22" s="697" t="str">
        <f t="shared" si="89"/>
        <v>0</v>
      </c>
      <c r="EQ22" s="701"/>
      <c r="ER22" s="696"/>
      <c r="ES22" s="697" t="str">
        <f t="shared" si="90"/>
        <v>0</v>
      </c>
      <c r="ET22" s="704"/>
      <c r="EU22" s="722"/>
      <c r="EV22" s="698" t="str">
        <f t="shared" si="91"/>
        <v>0</v>
      </c>
      <c r="EW22" s="699"/>
      <c r="EX22" s="700">
        <f ca="1">IF(EW22&lt;TODAY(),TODAY(),EW22)</f>
        <v>43188</v>
      </c>
      <c r="EY22" s="697" t="str">
        <f t="shared" ca="1" si="92"/>
        <v>0</v>
      </c>
      <c r="EZ22" s="696"/>
      <c r="FA22" s="701"/>
      <c r="FB22" s="697" t="str">
        <f t="shared" si="93"/>
        <v>0</v>
      </c>
      <c r="FC22" s="703"/>
      <c r="FD22" s="703"/>
      <c r="FE22" s="697" t="str">
        <f t="shared" si="94"/>
        <v>0</v>
      </c>
      <c r="FF22" s="703"/>
      <c r="FG22" s="703"/>
      <c r="FH22" s="697" t="str">
        <f t="shared" si="95"/>
        <v>0</v>
      </c>
      <c r="FI22" s="701"/>
      <c r="FJ22" s="701"/>
      <c r="FK22" s="697" t="str">
        <f t="shared" si="96"/>
        <v>0</v>
      </c>
      <c r="FL22" s="703"/>
      <c r="FM22" s="703"/>
      <c r="FN22" s="703"/>
      <c r="FO22" s="703"/>
      <c r="FP22" s="701"/>
      <c r="FQ22" s="699">
        <f t="shared" si="97"/>
        <v>0</v>
      </c>
      <c r="FR22" s="703"/>
      <c r="FS22" s="701">
        <f>CX22</f>
        <v>42627</v>
      </c>
      <c r="FT22" s="723"/>
      <c r="FU22" s="723"/>
      <c r="FV22" s="727"/>
      <c r="FW22" s="727"/>
      <c r="FX22" s="728">
        <f t="shared" si="98"/>
        <v>0</v>
      </c>
      <c r="FY22" s="728">
        <f t="shared" si="99"/>
        <v>1420.9</v>
      </c>
      <c r="FZ22" s="724"/>
      <c r="GA22" s="741" t="s">
        <v>881</v>
      </c>
      <c r="GB22" s="724"/>
      <c r="GC22" s="724"/>
      <c r="GD22" s="164"/>
      <c r="GE22" s="826">
        <v>3907101</v>
      </c>
      <c r="GF22" s="11">
        <v>4128660.85</v>
      </c>
      <c r="GG22" s="584">
        <f>GQ22+GV22+HC22+HV22+HA22+HG22+HF22</f>
        <v>4111004</v>
      </c>
      <c r="GH22" s="13">
        <f t="shared" si="100"/>
        <v>-17656.850000000093</v>
      </c>
      <c r="GI22" s="52">
        <f t="shared" si="50"/>
        <v>2033.2581557758126</v>
      </c>
      <c r="GJ22" s="52">
        <f t="shared" si="51"/>
        <v>171291.83333333334</v>
      </c>
      <c r="GK22" s="11">
        <v>3645377</v>
      </c>
      <c r="GL22" s="12"/>
      <c r="GM22" s="13">
        <f t="shared" si="101"/>
        <v>-3645377</v>
      </c>
      <c r="GN22" s="135">
        <f>GK22*1.021/GF22</f>
        <v>0.90148599079045189</v>
      </c>
      <c r="GO22" s="136"/>
      <c r="GP22" s="11">
        <v>1196851</v>
      </c>
      <c r="GQ22" s="12">
        <v>1196851</v>
      </c>
      <c r="GR22" s="70"/>
      <c r="GS22" s="22">
        <f t="shared" si="36"/>
        <v>49868.791666666664</v>
      </c>
      <c r="GT22" s="38">
        <f t="shared" si="102"/>
        <v>0</v>
      </c>
      <c r="GU22" s="11">
        <v>2362522</v>
      </c>
      <c r="GV22" s="12">
        <f>+GW22+GX22</f>
        <v>2362522</v>
      </c>
      <c r="GW22" s="14">
        <v>585357</v>
      </c>
      <c r="GX22" s="14">
        <v>1777165</v>
      </c>
      <c r="GY22" s="38">
        <f t="shared" si="103"/>
        <v>0</v>
      </c>
      <c r="GZ22" s="888">
        <f t="shared" si="52"/>
        <v>98438.416666666672</v>
      </c>
      <c r="HA22" s="12">
        <v>0</v>
      </c>
      <c r="HB22" s="11">
        <f>264000+120000</f>
        <v>384000</v>
      </c>
      <c r="HC22" s="16">
        <v>384000</v>
      </c>
      <c r="HD22" s="69"/>
      <c r="HE22" s="41">
        <f t="shared" si="40"/>
        <v>9.3407839058293307E-2</v>
      </c>
      <c r="HF22" s="892">
        <v>159192</v>
      </c>
      <c r="HG22" s="16">
        <v>0</v>
      </c>
      <c r="HH22" s="23">
        <f t="shared" si="108"/>
        <v>0</v>
      </c>
      <c r="HI22" s="22">
        <f t="shared" si="41"/>
        <v>16000</v>
      </c>
      <c r="HJ22" s="52">
        <f t="shared" si="42"/>
        <v>65868.791666666672</v>
      </c>
      <c r="HK22" s="23">
        <f t="shared" si="43"/>
        <v>0</v>
      </c>
      <c r="HL22" s="51"/>
      <c r="HM22" s="51"/>
      <c r="HN22" s="40">
        <v>913316.69861249998</v>
      </c>
      <c r="HO22" s="40">
        <v>480000</v>
      </c>
      <c r="HP22" s="22">
        <f t="shared" si="44"/>
        <v>85868.791666666672</v>
      </c>
      <c r="HQ22" s="40">
        <v>148968.80577250005</v>
      </c>
      <c r="HR22" s="22">
        <f t="shared" si="45"/>
        <v>92075.825240520833</v>
      </c>
      <c r="HS22" s="53">
        <f t="shared" si="104"/>
        <v>0.46259577137783203</v>
      </c>
      <c r="HT22" s="40">
        <v>247321.11820000003</v>
      </c>
      <c r="HU22" s="589"/>
      <c r="HV22" s="590">
        <v>8439</v>
      </c>
      <c r="HW22" s="42">
        <f t="shared" si="105"/>
        <v>5024320.6986125</v>
      </c>
      <c r="HX22" s="243"/>
      <c r="HY22" s="243">
        <f t="shared" si="106"/>
        <v>0</v>
      </c>
      <c r="HZ22" s="118"/>
      <c r="IA22" s="243"/>
      <c r="IB22" s="243"/>
      <c r="IC22" s="118"/>
      <c r="ID22" s="118"/>
      <c r="IE22" s="243"/>
      <c r="IF22" s="118"/>
      <c r="IG22" s="243"/>
      <c r="IH22" s="118"/>
      <c r="II22" s="243"/>
      <c r="IJ22" s="119"/>
      <c r="IK22" s="403"/>
      <c r="IL22" s="338"/>
      <c r="IM22" s="338"/>
      <c r="IN22" s="126"/>
      <c r="IO22" s="243"/>
      <c r="IP22" s="126"/>
      <c r="IQ22" s="243"/>
      <c r="IR22" s="119"/>
      <c r="IS22" s="119"/>
      <c r="IT22" s="119"/>
      <c r="IU22" s="119"/>
      <c r="IV22" s="286"/>
      <c r="IW22" s="286"/>
      <c r="IX22" s="286"/>
      <c r="IY22" s="286"/>
      <c r="IZ22" s="286"/>
      <c r="JA22" s="286"/>
      <c r="JB22" s="243"/>
      <c r="JC22" s="126"/>
      <c r="JD22" s="119"/>
      <c r="JE22" s="126"/>
      <c r="JF22" s="126"/>
      <c r="JG22" s="119"/>
    </row>
    <row r="23" spans="1:267" ht="107.25" customHeight="1">
      <c r="A23" s="913" t="s">
        <v>427</v>
      </c>
      <c r="B23" s="8" t="s">
        <v>35</v>
      </c>
      <c r="C23" s="8" t="s">
        <v>113</v>
      </c>
      <c r="D23" s="8">
        <v>2013</v>
      </c>
      <c r="E23" s="8" t="s">
        <v>36</v>
      </c>
      <c r="F23" s="8" t="s">
        <v>419</v>
      </c>
      <c r="G23" s="8" t="s">
        <v>766</v>
      </c>
      <c r="H23" s="8" t="s">
        <v>260</v>
      </c>
      <c r="I23" s="56"/>
      <c r="J23" s="56"/>
      <c r="K23" s="272"/>
      <c r="L23" s="171" t="s">
        <v>64</v>
      </c>
      <c r="M23" s="108"/>
      <c r="N23" s="109" t="s">
        <v>129</v>
      </c>
      <c r="O23" s="217">
        <v>2330</v>
      </c>
      <c r="P23" s="217">
        <f>Q23</f>
        <v>800000</v>
      </c>
      <c r="Q23" s="217">
        <v>800000</v>
      </c>
      <c r="R23" s="217">
        <f>P23/AD23</f>
        <v>18181.81818181818</v>
      </c>
      <c r="S23" s="217">
        <f>P23/O23</f>
        <v>343.34763948497852</v>
      </c>
      <c r="T23" s="217">
        <f>Q23/O23</f>
        <v>343.34763948497852</v>
      </c>
      <c r="U23" s="217">
        <f>Q23/AJ23</f>
        <v>218.75076904567243</v>
      </c>
      <c r="V23" s="217">
        <f>Q23/AD23</f>
        <v>18181.81818181818</v>
      </c>
      <c r="W23" s="217">
        <f>O23/AD23</f>
        <v>52.954545454545453</v>
      </c>
      <c r="X23" s="218"/>
      <c r="Y23" s="219">
        <f>AJ23/O23</f>
        <v>1.5695836909871246</v>
      </c>
      <c r="Z23" s="218" t="s">
        <v>198</v>
      </c>
      <c r="AA23" s="220">
        <v>580</v>
      </c>
      <c r="AB23" s="221"/>
      <c r="AC23" s="8" t="s">
        <v>15</v>
      </c>
      <c r="AD23" s="342">
        <f t="shared" si="71"/>
        <v>44</v>
      </c>
      <c r="AE23" s="8">
        <v>44</v>
      </c>
      <c r="AF23" s="9"/>
      <c r="AG23" s="67"/>
      <c r="AH23" s="67"/>
      <c r="AI23" s="10">
        <v>3666.81</v>
      </c>
      <c r="AJ23" s="85">
        <v>3657.13</v>
      </c>
      <c r="AK23" s="10">
        <f t="shared" si="72"/>
        <v>83.116590909090917</v>
      </c>
      <c r="AL23" s="81">
        <f>6/AD23</f>
        <v>0.13636363636363635</v>
      </c>
      <c r="AM23" s="81"/>
      <c r="AN23" s="81">
        <f>17/AE23</f>
        <v>0.38636363636363635</v>
      </c>
      <c r="AO23" s="81">
        <f>17/AD23</f>
        <v>0.38636363636363635</v>
      </c>
      <c r="AP23" s="81">
        <f>4/AD23</f>
        <v>9.0909090909090912E-2</v>
      </c>
      <c r="AQ23" s="10">
        <v>1428</v>
      </c>
      <c r="AR23" s="79">
        <v>0</v>
      </c>
      <c r="AS23" s="81">
        <f t="shared" si="73"/>
        <v>0</v>
      </c>
      <c r="AT23" s="60">
        <v>4</v>
      </c>
      <c r="AU23" s="59" t="s">
        <v>626</v>
      </c>
      <c r="AV23" s="8" t="s">
        <v>121</v>
      </c>
      <c r="AW23" s="56"/>
      <c r="AX23" s="194">
        <v>41348</v>
      </c>
      <c r="AY23" s="112" t="s">
        <v>12</v>
      </c>
      <c r="AZ23" s="112" t="s">
        <v>140</v>
      </c>
      <c r="BA23" s="576"/>
      <c r="BB23" s="214">
        <v>41446</v>
      </c>
      <c r="BC23" s="101"/>
      <c r="BD23" s="101">
        <v>41467</v>
      </c>
      <c r="BE23" s="214">
        <v>41500</v>
      </c>
      <c r="BF23" s="101"/>
      <c r="BG23" s="169">
        <v>41550</v>
      </c>
      <c r="BH23" s="212">
        <v>41576</v>
      </c>
      <c r="BI23" s="170">
        <f>DATE(YEAR(BH23),MONTH(BH23)+3,DAY(BH23))</f>
        <v>41668</v>
      </c>
      <c r="BJ23" s="170"/>
      <c r="BK23" s="320">
        <v>41659</v>
      </c>
      <c r="BL23" s="319">
        <f t="shared" si="74"/>
        <v>42389</v>
      </c>
      <c r="BM23" s="319">
        <f t="shared" si="75"/>
        <v>42755</v>
      </c>
      <c r="BN23" s="319" t="str">
        <f t="shared" si="107"/>
        <v>oui</v>
      </c>
      <c r="BO23" s="170"/>
      <c r="BP23" s="578" t="s">
        <v>182</v>
      </c>
      <c r="BQ23" s="102"/>
      <c r="BR23" s="103"/>
      <c r="BS23" s="106"/>
      <c r="BT23" s="106"/>
      <c r="BU23" s="165" t="s">
        <v>139</v>
      </c>
      <c r="BV23" s="330">
        <v>41626</v>
      </c>
      <c r="BW23" s="266"/>
      <c r="BX23" s="166">
        <v>6818520.4699999997</v>
      </c>
      <c r="BY23" s="172">
        <f t="shared" si="76"/>
        <v>42173</v>
      </c>
      <c r="BZ23" s="266">
        <f>DATE(YEAR(BV23),MONTH(BV23)+24,DAY(BV23))</f>
        <v>42356</v>
      </c>
      <c r="CA23" s="441">
        <v>41988</v>
      </c>
      <c r="CB23" s="266">
        <v>42398</v>
      </c>
      <c r="CC23" s="780">
        <f>(CX23-CB23)/30</f>
        <v>9.1</v>
      </c>
      <c r="CD23" s="617"/>
      <c r="CE23" s="448">
        <v>41766</v>
      </c>
      <c r="CF23" s="442">
        <v>2014</v>
      </c>
      <c r="CG23" s="601">
        <f t="shared" si="5"/>
        <v>10.666666666666666</v>
      </c>
      <c r="CH23" s="121">
        <v>15</v>
      </c>
      <c r="CI23" s="121">
        <f t="shared" si="77"/>
        <v>16</v>
      </c>
      <c r="CJ23" s="121">
        <f t="shared" si="78"/>
        <v>28</v>
      </c>
      <c r="CK23" s="121">
        <f t="shared" si="79"/>
        <v>29</v>
      </c>
      <c r="CL23" s="121">
        <f t="shared" si="80"/>
        <v>13</v>
      </c>
      <c r="CM23" s="121">
        <f t="shared" si="81"/>
        <v>13</v>
      </c>
      <c r="CN23" s="244">
        <v>27218</v>
      </c>
      <c r="CO23" s="244">
        <v>378325</v>
      </c>
      <c r="CP23" s="120">
        <v>42523</v>
      </c>
      <c r="CQ23" s="620">
        <f t="shared" si="82"/>
        <v>42223</v>
      </c>
      <c r="CR23" s="450">
        <v>42640</v>
      </c>
      <c r="CS23" s="620">
        <f>DATE(YEAR(CA23)+2,MONTH(CA23),DAY(CA23))</f>
        <v>42719</v>
      </c>
      <c r="CT23" s="401">
        <v>42745</v>
      </c>
      <c r="CU23" s="880">
        <f t="shared" si="49"/>
        <v>3.6083333333333329</v>
      </c>
      <c r="CV23" s="321">
        <v>42745</v>
      </c>
      <c r="CW23" s="801">
        <f>DATE(YEAR(CR23),MONTH(CR23)+1,DAY(CR23))</f>
        <v>42670</v>
      </c>
      <c r="CX23" s="453">
        <v>42671</v>
      </c>
      <c r="CY23" s="621">
        <v>2016</v>
      </c>
      <c r="CZ23" s="120" t="s">
        <v>129</v>
      </c>
      <c r="DA23" s="401" t="s">
        <v>129</v>
      </c>
      <c r="DB23" s="210">
        <v>42851</v>
      </c>
      <c r="DC23" s="340" t="s">
        <v>129</v>
      </c>
      <c r="DD23" s="340" t="s">
        <v>129</v>
      </c>
      <c r="DE23" s="253">
        <v>42912</v>
      </c>
      <c r="DF23" s="210" t="s">
        <v>129</v>
      </c>
      <c r="DG23" s="210">
        <f>DATE(YEAR(CR23)+1,MONTH(CR23),DAY(CR23))</f>
        <v>43005</v>
      </c>
      <c r="DH23" s="253">
        <v>42705</v>
      </c>
      <c r="DI23" s="253">
        <v>42873</v>
      </c>
      <c r="DJ23" s="119"/>
      <c r="DK23" s="119"/>
      <c r="DL23" s="56"/>
      <c r="DM23" s="119"/>
      <c r="DN23" s="56" t="s">
        <v>470</v>
      </c>
      <c r="DO23" s="56"/>
      <c r="DP23" s="191">
        <v>42955</v>
      </c>
      <c r="DQ23" s="191">
        <v>43139</v>
      </c>
      <c r="DR23" s="56"/>
      <c r="DS23" s="56"/>
      <c r="DT23" s="126"/>
      <c r="DU23" s="126"/>
      <c r="DV23" s="126"/>
      <c r="DW23" s="691" t="str">
        <f t="shared" si="83"/>
        <v>0</v>
      </c>
      <c r="DX23" s="126"/>
      <c r="DY23" s="126"/>
      <c r="DZ23" s="691" t="str">
        <f t="shared" si="84"/>
        <v>0</v>
      </c>
      <c r="EA23" s="126"/>
      <c r="EB23" s="126"/>
      <c r="EC23" s="691" t="str">
        <f t="shared" si="85"/>
        <v>0</v>
      </c>
      <c r="ED23" s="126"/>
      <c r="EE23" s="126"/>
      <c r="EF23" s="691" t="str">
        <f t="shared" si="86"/>
        <v>0</v>
      </c>
      <c r="EG23" s="133"/>
      <c r="EH23" s="745"/>
      <c r="EI23" s="691" t="str">
        <f t="shared" si="87"/>
        <v>0</v>
      </c>
      <c r="EJ23" s="243"/>
      <c r="EK23" s="126"/>
      <c r="EL23" s="243"/>
      <c r="EM23" s="691" t="str">
        <f t="shared" si="88"/>
        <v>0</v>
      </c>
      <c r="EN23" s="126"/>
      <c r="EO23" s="243"/>
      <c r="EP23" s="691" t="str">
        <f t="shared" si="89"/>
        <v>0</v>
      </c>
      <c r="EQ23" s="126"/>
      <c r="ER23" s="243"/>
      <c r="ES23" s="691" t="str">
        <f t="shared" si="90"/>
        <v>0</v>
      </c>
      <c r="ET23" s="747"/>
      <c r="EU23" s="743"/>
      <c r="EV23" s="694" t="str">
        <f t="shared" si="91"/>
        <v>0</v>
      </c>
      <c r="EW23" s="133"/>
      <c r="EX23" s="748">
        <f ca="1">IF(EW23&lt;TODAY(),TODAY(),EW23)</f>
        <v>43188</v>
      </c>
      <c r="EY23" s="691" t="str">
        <f t="shared" ca="1" si="92"/>
        <v>0</v>
      </c>
      <c r="EZ23" s="243"/>
      <c r="FA23" s="126"/>
      <c r="FB23" s="691" t="str">
        <f t="shared" si="93"/>
        <v>0</v>
      </c>
      <c r="FC23" s="119"/>
      <c r="FD23" s="119"/>
      <c r="FE23" s="691" t="str">
        <f t="shared" si="94"/>
        <v>0</v>
      </c>
      <c r="FF23" s="119"/>
      <c r="FG23" s="119"/>
      <c r="FH23" s="691" t="str">
        <f t="shared" si="95"/>
        <v>0</v>
      </c>
      <c r="FI23" s="126"/>
      <c r="FJ23" s="126"/>
      <c r="FK23" s="691" t="str">
        <f t="shared" si="96"/>
        <v>0</v>
      </c>
      <c r="FL23" s="119"/>
      <c r="FM23" s="119"/>
      <c r="FN23" s="119"/>
      <c r="FO23" s="703"/>
      <c r="FP23" s="701"/>
      <c r="FQ23" s="699">
        <f t="shared" si="97"/>
        <v>0</v>
      </c>
      <c r="FR23" s="703"/>
      <c r="FS23" s="703"/>
      <c r="FT23" s="723"/>
      <c r="FU23" s="723"/>
      <c r="FV23" s="727">
        <v>285000</v>
      </c>
      <c r="FW23" s="727"/>
      <c r="FX23" s="728">
        <f t="shared" si="98"/>
        <v>0</v>
      </c>
      <c r="FY23" s="728">
        <f t="shared" si="99"/>
        <v>0</v>
      </c>
      <c r="FZ23" s="724"/>
      <c r="GA23" s="741"/>
      <c r="GB23" s="724"/>
      <c r="GC23" s="724"/>
      <c r="GD23" s="113" t="s">
        <v>121</v>
      </c>
      <c r="GE23" s="822">
        <v>7150691</v>
      </c>
      <c r="GF23" s="11">
        <f>+GP23+GU23+HB23+HV23</f>
        <v>7150692</v>
      </c>
      <c r="GG23" s="584">
        <f t="shared" ref="GG23:GG26" si="110">GQ23+GV23+HC23+HV23+HA23+HG23+HF23</f>
        <v>7319203</v>
      </c>
      <c r="GH23" s="13">
        <f t="shared" si="100"/>
        <v>168511</v>
      </c>
      <c r="GI23" s="52">
        <f t="shared" si="50"/>
        <v>1996.0682446049836</v>
      </c>
      <c r="GJ23" s="52">
        <f t="shared" si="51"/>
        <v>166345.52272727274</v>
      </c>
      <c r="GK23" s="768">
        <v>6405313</v>
      </c>
      <c r="GL23" s="12">
        <v>6413222</v>
      </c>
      <c r="GM23" s="13">
        <f t="shared" si="101"/>
        <v>7909</v>
      </c>
      <c r="GN23" s="135">
        <f>GK23*1.021/GF23</f>
        <v>0.91457226419484994</v>
      </c>
      <c r="GO23" s="136"/>
      <c r="GP23" s="11">
        <v>2389181</v>
      </c>
      <c r="GQ23" s="12">
        <v>2438948</v>
      </c>
      <c r="GR23" s="70"/>
      <c r="GS23" s="22">
        <f t="shared" si="36"/>
        <v>55430.63636363636</v>
      </c>
      <c r="GT23" s="38">
        <f t="shared" si="102"/>
        <v>49767</v>
      </c>
      <c r="GU23" s="11">
        <v>4761510</v>
      </c>
      <c r="GV23" s="12">
        <f>+GW23+GX23</f>
        <v>4693223</v>
      </c>
      <c r="GW23" s="14">
        <v>982573</v>
      </c>
      <c r="GX23" s="14">
        <v>3710650</v>
      </c>
      <c r="GY23" s="38">
        <f t="shared" si="103"/>
        <v>-68287</v>
      </c>
      <c r="GZ23" s="888">
        <f t="shared" si="52"/>
        <v>106664.15909090909</v>
      </c>
      <c r="HA23" s="12"/>
      <c r="HB23" s="11">
        <v>1</v>
      </c>
      <c r="HC23" s="12">
        <v>1</v>
      </c>
      <c r="HD23" s="70"/>
      <c r="HE23" s="41">
        <f t="shared" si="40"/>
        <v>1.3662689776468832E-7</v>
      </c>
      <c r="HF23" s="892">
        <v>171546</v>
      </c>
      <c r="HG23" s="12">
        <v>15485</v>
      </c>
      <c r="HH23" s="23">
        <f t="shared" si="108"/>
        <v>0</v>
      </c>
      <c r="HI23" s="22">
        <f t="shared" si="41"/>
        <v>2.2727272727272728E-2</v>
      </c>
      <c r="HJ23" s="52">
        <f t="shared" si="42"/>
        <v>55430.659090909088</v>
      </c>
      <c r="HK23" s="23">
        <f t="shared" si="43"/>
        <v>0</v>
      </c>
      <c r="HL23" s="51"/>
      <c r="HM23" s="51"/>
      <c r="HN23" s="40"/>
      <c r="HO23" s="40"/>
      <c r="HP23" s="22">
        <f t="shared" si="44"/>
        <v>55430.659090909088</v>
      </c>
      <c r="HQ23" s="40"/>
      <c r="HR23" s="22">
        <f t="shared" si="45"/>
        <v>55430.659090909088</v>
      </c>
      <c r="HS23" s="53">
        <f t="shared" si="104"/>
        <v>0.33322603567628878</v>
      </c>
      <c r="HT23" s="40"/>
      <c r="HU23" s="40"/>
      <c r="HV23" s="590">
        <v>0</v>
      </c>
      <c r="HW23" s="42">
        <f t="shared" si="105"/>
        <v>7319203</v>
      </c>
      <c r="HX23" s="243">
        <v>343148</v>
      </c>
      <c r="HY23" s="243">
        <f t="shared" si="106"/>
        <v>186489</v>
      </c>
      <c r="HZ23" s="118">
        <v>41060</v>
      </c>
      <c r="IA23" s="243">
        <v>37298</v>
      </c>
      <c r="IB23" s="243"/>
      <c r="IC23" s="118"/>
      <c r="ID23" s="118">
        <v>41324</v>
      </c>
      <c r="IE23" s="243">
        <v>18649</v>
      </c>
      <c r="IF23" s="118">
        <v>41262</v>
      </c>
      <c r="IG23" s="243">
        <v>37298</v>
      </c>
      <c r="IH23" s="118">
        <v>41396</v>
      </c>
      <c r="II23" s="243">
        <v>37298</v>
      </c>
      <c r="IJ23" s="119">
        <v>41547</v>
      </c>
      <c r="IK23" s="403">
        <v>55946</v>
      </c>
      <c r="IL23" s="338"/>
      <c r="IM23" s="338"/>
      <c r="IN23" s="126"/>
      <c r="IO23" s="243"/>
      <c r="IP23" s="126"/>
      <c r="IQ23" s="243"/>
      <c r="IR23" s="119"/>
      <c r="IS23" s="119"/>
      <c r="IT23" s="119"/>
      <c r="IU23" s="119"/>
      <c r="IV23" s="286"/>
      <c r="IW23" s="286"/>
      <c r="IX23" s="286"/>
      <c r="IY23" s="286"/>
      <c r="IZ23" s="286"/>
      <c r="JA23" s="286"/>
      <c r="JB23" s="243">
        <v>37298</v>
      </c>
      <c r="JC23" s="126"/>
      <c r="JD23" s="119"/>
      <c r="JE23" s="126"/>
      <c r="JF23" s="126"/>
      <c r="JG23" s="119"/>
    </row>
    <row r="24" spans="1:267" ht="24.95" customHeight="1">
      <c r="A24" s="926" t="s">
        <v>279</v>
      </c>
      <c r="B24" s="19" t="s">
        <v>35</v>
      </c>
      <c r="C24" s="19" t="s">
        <v>113</v>
      </c>
      <c r="D24" s="19">
        <v>2014</v>
      </c>
      <c r="E24" s="19" t="s">
        <v>204</v>
      </c>
      <c r="F24" s="19" t="s">
        <v>424</v>
      </c>
      <c r="G24" s="19" t="s">
        <v>461</v>
      </c>
      <c r="H24" s="19" t="s">
        <v>260</v>
      </c>
      <c r="I24" s="57"/>
      <c r="J24" s="57"/>
      <c r="K24" s="216"/>
      <c r="L24" s="171"/>
      <c r="M24" s="108"/>
      <c r="N24" s="109"/>
      <c r="O24" s="222">
        <f>1032+357+882+400</f>
        <v>2671</v>
      </c>
      <c r="P24" s="222">
        <f>Q24</f>
        <v>637295</v>
      </c>
      <c r="Q24" s="222">
        <v>637295</v>
      </c>
      <c r="R24" s="217">
        <f>P24/AD24</f>
        <v>13559.468085106382</v>
      </c>
      <c r="S24" s="222">
        <f>P24/O24</f>
        <v>238.5979034069637</v>
      </c>
      <c r="T24" s="223">
        <f>Q24/O24</f>
        <v>238.5979034069637</v>
      </c>
      <c r="U24" s="223">
        <f>Q24/AJ24</f>
        <v>167.06075103217773</v>
      </c>
      <c r="V24" s="223">
        <f>Q24/AD24</f>
        <v>13559.468085106382</v>
      </c>
      <c r="W24" s="217">
        <f>O24/AD24</f>
        <v>56.829787234042556</v>
      </c>
      <c r="X24" s="224"/>
      <c r="Y24" s="225">
        <f>AJ24/O24</f>
        <v>1.428210408086859</v>
      </c>
      <c r="Z24" s="224" t="s">
        <v>192</v>
      </c>
      <c r="AA24" s="568">
        <v>512</v>
      </c>
      <c r="AB24" s="569"/>
      <c r="AC24" s="19" t="s">
        <v>16</v>
      </c>
      <c r="AD24" s="342">
        <f t="shared" si="71"/>
        <v>47</v>
      </c>
      <c r="AE24" s="55"/>
      <c r="AF24" s="19">
        <v>47</v>
      </c>
      <c r="AG24" s="57"/>
      <c r="AH24" s="57"/>
      <c r="AI24" s="572">
        <v>4397.1499999999996</v>
      </c>
      <c r="AJ24" s="573">
        <v>3814.75</v>
      </c>
      <c r="AK24" s="10">
        <f t="shared" si="72"/>
        <v>81.164893617021278</v>
      </c>
      <c r="AL24" s="63"/>
      <c r="AM24" s="63"/>
      <c r="AN24" s="63"/>
      <c r="AO24" s="63"/>
      <c r="AP24" s="63"/>
      <c r="AQ24" s="572"/>
      <c r="AR24" s="80">
        <v>0</v>
      </c>
      <c r="AS24" s="82">
        <f t="shared" si="73"/>
        <v>0</v>
      </c>
      <c r="AT24" s="61">
        <v>4.5</v>
      </c>
      <c r="AU24" s="59" t="s">
        <v>626</v>
      </c>
      <c r="AV24" s="19" t="s">
        <v>121</v>
      </c>
      <c r="AW24" s="253">
        <v>41591</v>
      </c>
      <c r="AX24" s="253">
        <v>41771</v>
      </c>
      <c r="AY24" s="112" t="s">
        <v>12</v>
      </c>
      <c r="AZ24" s="112" t="s">
        <v>242</v>
      </c>
      <c r="BA24" s="36" t="s">
        <v>172</v>
      </c>
      <c r="BB24" s="214">
        <v>41800</v>
      </c>
      <c r="BC24" s="101"/>
      <c r="BD24" s="101">
        <v>41935</v>
      </c>
      <c r="BE24" s="214">
        <v>41957</v>
      </c>
      <c r="BF24" s="101"/>
      <c r="BG24" s="169">
        <v>41989</v>
      </c>
      <c r="BH24" s="212">
        <v>41990</v>
      </c>
      <c r="BI24" s="170"/>
      <c r="BJ24" s="170" t="s">
        <v>129</v>
      </c>
      <c r="BK24" s="320">
        <v>42080</v>
      </c>
      <c r="BL24" s="319">
        <f t="shared" si="74"/>
        <v>42811</v>
      </c>
      <c r="BM24" s="319">
        <f t="shared" si="75"/>
        <v>43176</v>
      </c>
      <c r="BN24" s="319" t="str">
        <f t="shared" si="107"/>
        <v>non</v>
      </c>
      <c r="BO24" s="174" t="s">
        <v>271</v>
      </c>
      <c r="BP24" s="37" t="s">
        <v>324</v>
      </c>
      <c r="BQ24" s="198" t="s">
        <v>344</v>
      </c>
      <c r="BR24" s="103"/>
      <c r="BS24" s="103">
        <v>42276</v>
      </c>
      <c r="BT24" s="103"/>
      <c r="BU24" s="165" t="s">
        <v>145</v>
      </c>
      <c r="BV24" s="330">
        <v>41992</v>
      </c>
      <c r="BW24" s="266"/>
      <c r="BX24" s="759">
        <v>7100881.4887365336</v>
      </c>
      <c r="BY24" s="172">
        <f t="shared" si="76"/>
        <v>42540</v>
      </c>
      <c r="BZ24" s="266"/>
      <c r="CA24" s="441">
        <v>42143</v>
      </c>
      <c r="CB24" s="266">
        <v>42662</v>
      </c>
      <c r="CC24" s="780">
        <f>(CX24-CB24)/30</f>
        <v>0.66666666666666663</v>
      </c>
      <c r="CD24" s="617"/>
      <c r="CE24" s="448">
        <v>42037</v>
      </c>
      <c r="CF24" s="444">
        <v>2015</v>
      </c>
      <c r="CG24" s="602">
        <f t="shared" si="5"/>
        <v>7.9</v>
      </c>
      <c r="CH24" s="254">
        <v>18</v>
      </c>
      <c r="CI24" s="128">
        <f t="shared" si="77"/>
        <v>19</v>
      </c>
      <c r="CJ24" s="255">
        <f t="shared" si="78"/>
        <v>19</v>
      </c>
      <c r="CK24" s="255">
        <f t="shared" si="79"/>
        <v>21</v>
      </c>
      <c r="CL24" s="255">
        <f t="shared" si="80"/>
        <v>1</v>
      </c>
      <c r="CM24" s="255">
        <f t="shared" si="81"/>
        <v>2</v>
      </c>
      <c r="CN24" s="246">
        <f>245360.943389331/12</f>
        <v>20446.745282444248</v>
      </c>
      <c r="CO24" s="246">
        <f>CN24*(CK24-CH24)</f>
        <v>61340.235847332748</v>
      </c>
      <c r="CP24" s="248">
        <v>42591</v>
      </c>
      <c r="CQ24" s="751">
        <f t="shared" si="82"/>
        <v>42584</v>
      </c>
      <c r="CR24" s="454">
        <f>DATE(YEAR(CE24),MONTH(CE24)+CH24+1,DAY(CE24))</f>
        <v>42615</v>
      </c>
      <c r="CS24" s="752">
        <f>DATE(YEAR(CA24)+2,MONTH(CA24),DAY(CA24))</f>
        <v>42874</v>
      </c>
      <c r="CT24" s="248">
        <v>42657</v>
      </c>
      <c r="CU24" s="879">
        <f t="shared" si="49"/>
        <v>2.3805555555555555</v>
      </c>
      <c r="CV24" s="271" t="s">
        <v>521</v>
      </c>
      <c r="CW24" s="751"/>
      <c r="CX24" s="804">
        <v>42682</v>
      </c>
      <c r="CY24" s="621">
        <v>2016</v>
      </c>
      <c r="CZ24" s="249" t="s">
        <v>129</v>
      </c>
      <c r="DA24" s="123"/>
      <c r="DB24" s="123"/>
      <c r="DC24" s="249"/>
      <c r="DD24" s="249" t="s">
        <v>606</v>
      </c>
      <c r="DE24" s="249" t="s">
        <v>129</v>
      </c>
      <c r="DF24" s="249"/>
      <c r="DG24" s="126">
        <f t="shared" ref="DG24:DG27" si="111">DATE(YEAR(CR24)+1,MONTH(CR24),DAY(CR24))</f>
        <v>42980</v>
      </c>
      <c r="DH24" s="253">
        <v>42710</v>
      </c>
      <c r="DI24" s="253">
        <v>42779</v>
      </c>
      <c r="DJ24" s="57"/>
      <c r="DK24" s="57"/>
      <c r="DL24" s="405" t="s">
        <v>172</v>
      </c>
      <c r="DM24" s="405" t="s">
        <v>129</v>
      </c>
      <c r="DN24" s="405"/>
      <c r="DO24" s="407" t="s">
        <v>651</v>
      </c>
      <c r="DP24" s="247">
        <v>42808</v>
      </c>
      <c r="DQ24" s="247" t="s">
        <v>129</v>
      </c>
      <c r="DR24" s="57"/>
      <c r="DS24" s="57"/>
      <c r="DT24" s="126"/>
      <c r="DU24" s="126"/>
      <c r="DV24" s="126"/>
      <c r="DW24" s="691" t="str">
        <f t="shared" si="83"/>
        <v>0</v>
      </c>
      <c r="DX24" s="126"/>
      <c r="DY24" s="126"/>
      <c r="DZ24" s="691" t="str">
        <f t="shared" si="84"/>
        <v>0</v>
      </c>
      <c r="EA24" s="126"/>
      <c r="EB24" s="126"/>
      <c r="EC24" s="691" t="str">
        <f t="shared" si="85"/>
        <v>0</v>
      </c>
      <c r="ED24" s="126"/>
      <c r="EE24" s="126"/>
      <c r="EF24" s="691" t="str">
        <f t="shared" si="86"/>
        <v>0</v>
      </c>
      <c r="EG24" s="133"/>
      <c r="EH24" s="745"/>
      <c r="EI24" s="691" t="str">
        <f t="shared" si="87"/>
        <v>0</v>
      </c>
      <c r="EJ24" s="243"/>
      <c r="EK24" s="126"/>
      <c r="EL24" s="243"/>
      <c r="EM24" s="691" t="str">
        <f t="shared" si="88"/>
        <v>0</v>
      </c>
      <c r="EN24" s="126"/>
      <c r="EO24" s="243"/>
      <c r="EP24" s="691" t="str">
        <f t="shared" si="89"/>
        <v>0</v>
      </c>
      <c r="EQ24" s="126"/>
      <c r="ER24" s="243"/>
      <c r="ES24" s="691" t="str">
        <f t="shared" si="90"/>
        <v>0</v>
      </c>
      <c r="ET24" s="747"/>
      <c r="EU24" s="743"/>
      <c r="EV24" s="694" t="str">
        <f t="shared" si="91"/>
        <v>0</v>
      </c>
      <c r="EW24" s="133"/>
      <c r="EX24" s="748"/>
      <c r="EY24" s="691" t="str">
        <f t="shared" si="92"/>
        <v>0</v>
      </c>
      <c r="EZ24" s="126"/>
      <c r="FA24" s="126"/>
      <c r="FB24" s="691" t="str">
        <f t="shared" si="93"/>
        <v>0</v>
      </c>
      <c r="FC24" s="126"/>
      <c r="FD24" s="126"/>
      <c r="FE24" s="691" t="str">
        <f t="shared" si="94"/>
        <v>0</v>
      </c>
      <c r="FF24" s="126"/>
      <c r="FG24" s="126"/>
      <c r="FH24" s="691" t="str">
        <f t="shared" si="95"/>
        <v>0</v>
      </c>
      <c r="FI24" s="126"/>
      <c r="FJ24" s="126"/>
      <c r="FK24" s="691" t="str">
        <f t="shared" si="96"/>
        <v>0</v>
      </c>
      <c r="FL24" s="126"/>
      <c r="FM24" s="126"/>
      <c r="FN24" s="126"/>
      <c r="FO24" s="701"/>
      <c r="FP24" s="701"/>
      <c r="FQ24" s="699">
        <f t="shared" si="97"/>
        <v>0</v>
      </c>
      <c r="FR24" s="701"/>
      <c r="FS24" s="701"/>
      <c r="FT24" s="723"/>
      <c r="FU24" s="723"/>
      <c r="FV24" s="727"/>
      <c r="FW24" s="727"/>
      <c r="FX24" s="728">
        <f t="shared" si="98"/>
        <v>0</v>
      </c>
      <c r="FY24" s="728">
        <f t="shared" si="99"/>
        <v>0</v>
      </c>
      <c r="FZ24" s="724"/>
      <c r="GA24" s="741"/>
      <c r="GB24" s="724"/>
      <c r="GC24" s="724"/>
      <c r="GD24" s="113"/>
      <c r="GE24" s="822"/>
      <c r="GF24" s="21">
        <f>+GP24+GU24+HB24+HV24</f>
        <v>9070838.1099999994</v>
      </c>
      <c r="GG24" s="584">
        <f t="shared" si="110"/>
        <v>7893608.4299999997</v>
      </c>
      <c r="GH24" s="48">
        <f t="shared" si="100"/>
        <v>-1177229.6799999997</v>
      </c>
      <c r="GI24" s="52">
        <f t="shared" si="50"/>
        <v>1795.1646930398099</v>
      </c>
      <c r="GJ24" s="52">
        <f t="shared" si="51"/>
        <v>167949.1155319149</v>
      </c>
      <c r="GK24" s="21">
        <v>7995841</v>
      </c>
      <c r="GL24" s="585">
        <v>6785519</v>
      </c>
      <c r="GM24" s="48">
        <f t="shared" si="101"/>
        <v>-1210322</v>
      </c>
      <c r="GN24" s="135">
        <f>GL24*1.021/GG24</f>
        <v>0.87767400174928611</v>
      </c>
      <c r="GO24" s="136"/>
      <c r="GP24" s="21">
        <v>2612892.11</v>
      </c>
      <c r="GQ24" s="585">
        <v>2234701</v>
      </c>
      <c r="GR24" s="75"/>
      <c r="GS24" s="22">
        <f t="shared" si="36"/>
        <v>47546.829787234041</v>
      </c>
      <c r="GT24" s="39">
        <f t="shared" si="102"/>
        <v>-378191.10999999987</v>
      </c>
      <c r="GU24" s="21">
        <v>5339946</v>
      </c>
      <c r="GV24" s="585">
        <f>GW24+GX24</f>
        <v>4540907.43</v>
      </c>
      <c r="GW24" s="587">
        <v>1362272</v>
      </c>
      <c r="GX24" s="587">
        <v>3178635.43</v>
      </c>
      <c r="GY24" s="39">
        <f t="shared" si="103"/>
        <v>-799038.5700000003</v>
      </c>
      <c r="GZ24" s="888">
        <f t="shared" si="52"/>
        <v>96615.051702127646</v>
      </c>
      <c r="HA24" s="585">
        <v>0</v>
      </c>
      <c r="HB24" s="21">
        <v>1118000</v>
      </c>
      <c r="HC24" s="585">
        <f>HB24</f>
        <v>1118000</v>
      </c>
      <c r="HD24" s="75">
        <v>0</v>
      </c>
      <c r="HE24" s="41">
        <f t="shared" si="40"/>
        <v>0.1416335773321353</v>
      </c>
      <c r="HF24" s="892"/>
      <c r="HG24" s="585">
        <v>0</v>
      </c>
      <c r="HH24" s="20">
        <f t="shared" si="108"/>
        <v>0</v>
      </c>
      <c r="HI24" s="49">
        <f t="shared" si="41"/>
        <v>23787.234042553191</v>
      </c>
      <c r="HJ24" s="84">
        <f>(GQ24+HC24)/AD24</f>
        <v>71334.063829787236</v>
      </c>
      <c r="HK24" s="20">
        <f t="shared" si="43"/>
        <v>0</v>
      </c>
      <c r="HL24" s="51">
        <v>5.07</v>
      </c>
      <c r="HM24" s="51">
        <v>4.96</v>
      </c>
      <c r="HN24" s="588">
        <v>0</v>
      </c>
      <c r="HO24" s="588">
        <v>0</v>
      </c>
      <c r="HP24" s="49">
        <f t="shared" si="44"/>
        <v>71334.063829787236</v>
      </c>
      <c r="HQ24" s="588">
        <v>0</v>
      </c>
      <c r="HR24" s="49">
        <f t="shared" si="45"/>
        <v>71334.063829787236</v>
      </c>
      <c r="HS24" s="53">
        <f t="shared" si="104"/>
        <v>0.42473616847497969</v>
      </c>
      <c r="HT24" s="588">
        <v>0</v>
      </c>
      <c r="HU24" s="588"/>
      <c r="HV24" s="591">
        <v>0</v>
      </c>
      <c r="HW24" s="42">
        <f t="shared" si="105"/>
        <v>7893608.4299999997</v>
      </c>
      <c r="HX24" s="243"/>
      <c r="HY24" s="243">
        <f t="shared" si="106"/>
        <v>0</v>
      </c>
      <c r="HZ24" s="118"/>
      <c r="IA24" s="243"/>
      <c r="IB24" s="243"/>
      <c r="IC24" s="118"/>
      <c r="ID24" s="118"/>
      <c r="IE24" s="243"/>
      <c r="IF24" s="118"/>
      <c r="IG24" s="243"/>
      <c r="IH24" s="118"/>
      <c r="II24" s="243"/>
      <c r="IJ24" s="119"/>
      <c r="IK24" s="403"/>
      <c r="IL24" s="338"/>
      <c r="IM24" s="338"/>
      <c r="IN24" s="126"/>
      <c r="IO24" s="243"/>
      <c r="IP24" s="126"/>
      <c r="IQ24" s="243"/>
      <c r="IR24" s="119"/>
      <c r="IS24" s="119"/>
      <c r="IT24" s="119"/>
      <c r="IU24" s="119"/>
      <c r="IV24" s="286"/>
      <c r="IW24" s="286"/>
      <c r="IX24" s="286"/>
      <c r="IY24" s="286"/>
      <c r="IZ24" s="286"/>
      <c r="JA24" s="286"/>
      <c r="JB24" s="243"/>
      <c r="JC24" s="126"/>
      <c r="JD24" s="119"/>
      <c r="JE24" s="126"/>
      <c r="JF24" s="126"/>
      <c r="JG24" s="119"/>
    </row>
    <row r="25" spans="1:267" ht="24.95" customHeight="1">
      <c r="A25" s="24" t="s">
        <v>355</v>
      </c>
      <c r="B25" s="8" t="s">
        <v>34</v>
      </c>
      <c r="C25" s="8" t="s">
        <v>114</v>
      </c>
      <c r="D25" s="8">
        <v>2013</v>
      </c>
      <c r="E25" s="8" t="s">
        <v>51</v>
      </c>
      <c r="F25" s="8" t="s">
        <v>334</v>
      </c>
      <c r="G25" s="7"/>
      <c r="H25" s="8"/>
      <c r="I25" s="56"/>
      <c r="J25" s="56" t="s">
        <v>414</v>
      </c>
      <c r="K25" s="272"/>
      <c r="L25" s="171" t="s">
        <v>63</v>
      </c>
      <c r="M25" s="108" t="s">
        <v>71</v>
      </c>
      <c r="N25" s="109"/>
      <c r="O25" s="68"/>
      <c r="P25" s="68"/>
      <c r="Q25" s="68"/>
      <c r="R25" s="68"/>
      <c r="S25" s="68"/>
      <c r="T25" s="68"/>
      <c r="U25" s="68"/>
      <c r="V25" s="68"/>
      <c r="W25" s="68"/>
      <c r="X25" s="67"/>
      <c r="Y25" s="67"/>
      <c r="Z25" s="67"/>
      <c r="AA25" s="220"/>
      <c r="AB25" s="820"/>
      <c r="AC25" s="8" t="s">
        <v>16</v>
      </c>
      <c r="AD25" s="342">
        <f t="shared" si="71"/>
        <v>44</v>
      </c>
      <c r="AE25" s="9"/>
      <c r="AF25" s="8">
        <v>44</v>
      </c>
      <c r="AG25" s="56"/>
      <c r="AH25" s="56"/>
      <c r="AI25" s="10">
        <v>3272.11</v>
      </c>
      <c r="AJ25" s="85">
        <v>3318.11</v>
      </c>
      <c r="AK25" s="10">
        <f t="shared" si="72"/>
        <v>75.411590909090918</v>
      </c>
      <c r="AL25" s="62"/>
      <c r="AM25" s="62"/>
      <c r="AN25" s="62"/>
      <c r="AO25" s="62"/>
      <c r="AP25" s="62"/>
      <c r="AQ25" s="10"/>
      <c r="AR25" s="79"/>
      <c r="AS25" s="81" t="e">
        <f t="shared" si="73"/>
        <v>#DIV/0!</v>
      </c>
      <c r="AT25" s="60">
        <v>3.5</v>
      </c>
      <c r="AU25" s="59" t="s">
        <v>626</v>
      </c>
      <c r="AV25" s="19" t="s">
        <v>121</v>
      </c>
      <c r="AW25" s="194">
        <v>41170</v>
      </c>
      <c r="AX25" s="194">
        <v>40963</v>
      </c>
      <c r="AY25" s="112" t="s">
        <v>11</v>
      </c>
      <c r="AZ25" s="112" t="s">
        <v>149</v>
      </c>
      <c r="BA25" s="577">
        <v>220000</v>
      </c>
      <c r="BB25" s="214">
        <v>41465</v>
      </c>
      <c r="BC25" s="101"/>
      <c r="BD25" s="101">
        <v>41537</v>
      </c>
      <c r="BE25" s="214">
        <v>41543</v>
      </c>
      <c r="BF25" s="101"/>
      <c r="BG25" s="169">
        <v>41549</v>
      </c>
      <c r="BH25" s="212">
        <v>41583</v>
      </c>
      <c r="BI25" s="170">
        <f>DATE(YEAR(BH25),MONTH(BH25)+3,DAY(BH25))</f>
        <v>41675</v>
      </c>
      <c r="BJ25" s="170"/>
      <c r="BK25" s="320">
        <v>41659</v>
      </c>
      <c r="BL25" s="319">
        <f t="shared" si="74"/>
        <v>42389</v>
      </c>
      <c r="BM25" s="319">
        <f t="shared" si="75"/>
        <v>42755</v>
      </c>
      <c r="BN25" s="319" t="str">
        <f t="shared" si="107"/>
        <v>oui</v>
      </c>
      <c r="BO25" s="170"/>
      <c r="BP25" s="169">
        <v>41659</v>
      </c>
      <c r="BQ25" s="102"/>
      <c r="BR25" s="103"/>
      <c r="BS25" s="106"/>
      <c r="BT25" s="106"/>
      <c r="BU25" s="165"/>
      <c r="BV25" s="330">
        <v>41635</v>
      </c>
      <c r="BW25" s="266"/>
      <c r="BX25" s="166">
        <v>13003860.789999999</v>
      </c>
      <c r="BY25" s="172">
        <f t="shared" si="76"/>
        <v>42182</v>
      </c>
      <c r="BZ25" s="266"/>
      <c r="CA25" s="441">
        <v>42159</v>
      </c>
      <c r="CB25" s="517"/>
      <c r="CC25" s="517"/>
      <c r="CD25" s="617"/>
      <c r="CE25" s="448">
        <v>41801</v>
      </c>
      <c r="CF25" s="442">
        <v>2014</v>
      </c>
      <c r="CG25" s="601">
        <f t="shared" si="5"/>
        <v>11.2</v>
      </c>
      <c r="CH25" s="254">
        <v>24</v>
      </c>
      <c r="CI25" s="128">
        <f t="shared" si="77"/>
        <v>25</v>
      </c>
      <c r="CJ25" s="255">
        <f t="shared" si="78"/>
        <v>28</v>
      </c>
      <c r="CK25" s="255">
        <f t="shared" si="79"/>
        <v>29</v>
      </c>
      <c r="CL25" s="255">
        <f t="shared" si="80"/>
        <v>4</v>
      </c>
      <c r="CM25" s="255">
        <f t="shared" si="81"/>
        <v>4</v>
      </c>
      <c r="CN25" s="245">
        <f>215379.952064433/12</f>
        <v>17948.329338702748</v>
      </c>
      <c r="CO25" s="245">
        <f t="shared" ref="CO25:CO27" si="112">CN25*(CJ25-CH25)</f>
        <v>71793.317354810992</v>
      </c>
      <c r="CP25" s="248">
        <v>42538</v>
      </c>
      <c r="CQ25" s="751">
        <f t="shared" si="82"/>
        <v>42532</v>
      </c>
      <c r="CR25" s="448">
        <v>42682</v>
      </c>
      <c r="CS25" s="830">
        <v>42735</v>
      </c>
      <c r="CT25" s="248">
        <v>42726</v>
      </c>
      <c r="CU25" s="879">
        <f t="shared" si="49"/>
        <v>3.5027777777777778</v>
      </c>
      <c r="CV25" s="248">
        <v>42744</v>
      </c>
      <c r="CW25" s="800">
        <v>42692</v>
      </c>
      <c r="CX25" s="453">
        <v>42704</v>
      </c>
      <c r="CY25" s="621">
        <v>2016</v>
      </c>
      <c r="CZ25" s="248">
        <v>42670</v>
      </c>
      <c r="DA25" s="322" t="s">
        <v>582</v>
      </c>
      <c r="DB25" s="322"/>
      <c r="DC25" s="322" t="s">
        <v>609</v>
      </c>
      <c r="DD25" s="322" t="s">
        <v>326</v>
      </c>
      <c r="DE25" s="322" t="s">
        <v>588</v>
      </c>
      <c r="DF25" s="131" t="s">
        <v>649</v>
      </c>
      <c r="DG25" s="126">
        <f t="shared" si="111"/>
        <v>43047</v>
      </c>
      <c r="DH25" s="278">
        <v>42795</v>
      </c>
      <c r="DI25" s="56"/>
      <c r="DJ25" s="56"/>
      <c r="DK25" s="56"/>
      <c r="DL25" s="56"/>
      <c r="DM25" s="278">
        <v>42795</v>
      </c>
      <c r="DN25" s="561" t="s">
        <v>711</v>
      </c>
      <c r="DO25" s="56" t="s">
        <v>470</v>
      </c>
      <c r="DP25" s="247" t="s">
        <v>129</v>
      </c>
      <c r="DQ25" s="193"/>
      <c r="DR25" s="56"/>
      <c r="DS25" s="56"/>
      <c r="DT25" s="126"/>
      <c r="DU25" s="126"/>
      <c r="DV25" s="126"/>
      <c r="DW25" s="691" t="str">
        <f t="shared" si="83"/>
        <v>0</v>
      </c>
      <c r="DX25" s="126"/>
      <c r="DY25" s="126"/>
      <c r="DZ25" s="691" t="str">
        <f t="shared" si="84"/>
        <v>0</v>
      </c>
      <c r="EA25" s="126"/>
      <c r="EB25" s="126"/>
      <c r="EC25" s="691" t="str">
        <f t="shared" si="85"/>
        <v>0</v>
      </c>
      <c r="ED25" s="126"/>
      <c r="EE25" s="126"/>
      <c r="EF25" s="691" t="str">
        <f t="shared" si="86"/>
        <v>0</v>
      </c>
      <c r="EG25" s="133"/>
      <c r="EH25" s="745"/>
      <c r="EI25" s="691" t="str">
        <f t="shared" si="87"/>
        <v>0</v>
      </c>
      <c r="EJ25" s="243"/>
      <c r="EK25" s="126"/>
      <c r="EL25" s="243"/>
      <c r="EM25" s="691" t="str">
        <f t="shared" si="88"/>
        <v>0</v>
      </c>
      <c r="EN25" s="126"/>
      <c r="EO25" s="243"/>
      <c r="EP25" s="691" t="str">
        <f t="shared" si="89"/>
        <v>0</v>
      </c>
      <c r="EQ25" s="126"/>
      <c r="ER25" s="243"/>
      <c r="ES25" s="691" t="str">
        <f t="shared" si="90"/>
        <v>0</v>
      </c>
      <c r="ET25" s="747"/>
      <c r="EU25" s="743"/>
      <c r="EV25" s="694" t="str">
        <f t="shared" si="91"/>
        <v>0</v>
      </c>
      <c r="EW25" s="133"/>
      <c r="EX25" s="748"/>
      <c r="EY25" s="691" t="str">
        <f t="shared" si="92"/>
        <v>0</v>
      </c>
      <c r="EZ25" s="126"/>
      <c r="FA25" s="126"/>
      <c r="FB25" s="691" t="str">
        <f t="shared" si="93"/>
        <v>0</v>
      </c>
      <c r="FC25" s="126"/>
      <c r="FD25" s="126"/>
      <c r="FE25" s="691" t="str">
        <f t="shared" si="94"/>
        <v>0</v>
      </c>
      <c r="FF25" s="126"/>
      <c r="FG25" s="126"/>
      <c r="FH25" s="691" t="str">
        <f t="shared" si="95"/>
        <v>0</v>
      </c>
      <c r="FI25" s="126"/>
      <c r="FJ25" s="126"/>
      <c r="FK25" s="691" t="str">
        <f t="shared" si="96"/>
        <v>0</v>
      </c>
      <c r="FL25" s="126"/>
      <c r="FM25" s="126"/>
      <c r="FN25" s="126"/>
      <c r="FO25" s="701"/>
      <c r="FP25" s="701"/>
      <c r="FQ25" s="699">
        <f t="shared" si="97"/>
        <v>0</v>
      </c>
      <c r="FR25" s="701"/>
      <c r="FS25" s="701"/>
      <c r="FT25" s="723"/>
      <c r="FU25" s="723"/>
      <c r="FV25" s="727"/>
      <c r="FW25" s="727"/>
      <c r="FX25" s="728">
        <f t="shared" si="98"/>
        <v>0</v>
      </c>
      <c r="FY25" s="728">
        <f t="shared" si="99"/>
        <v>0</v>
      </c>
      <c r="FZ25" s="724"/>
      <c r="GA25" s="741" t="s">
        <v>887</v>
      </c>
      <c r="GB25" s="724"/>
      <c r="GC25" s="724"/>
      <c r="GD25" s="113" t="s">
        <v>121</v>
      </c>
      <c r="GE25" s="828">
        <v>6402537</v>
      </c>
      <c r="GF25" s="11">
        <f>+GP25+GU25+HB25+HV25</f>
        <v>6402537</v>
      </c>
      <c r="GG25" s="584">
        <f t="shared" si="110"/>
        <v>6464079</v>
      </c>
      <c r="GH25" s="13">
        <f t="shared" si="100"/>
        <v>61542</v>
      </c>
      <c r="GI25" s="52">
        <f t="shared" si="50"/>
        <v>1975.5078527311123</v>
      </c>
      <c r="GJ25" s="52">
        <f t="shared" si="51"/>
        <v>146910.88636363635</v>
      </c>
      <c r="GK25" s="11">
        <v>5737343</v>
      </c>
      <c r="GL25" s="12">
        <v>5833192</v>
      </c>
      <c r="GM25" s="13">
        <f t="shared" si="101"/>
        <v>95849</v>
      </c>
      <c r="GN25" s="135">
        <f t="shared" ref="GN25:GN27" si="113">GK25*1.021/GF25</f>
        <v>0.91492281934489406</v>
      </c>
      <c r="GO25" s="136"/>
      <c r="GP25" s="11">
        <v>1799492</v>
      </c>
      <c r="GQ25" s="12">
        <v>1905132</v>
      </c>
      <c r="GR25" s="70"/>
      <c r="GS25" s="22">
        <f t="shared" si="36"/>
        <v>43298.454545454544</v>
      </c>
      <c r="GT25" s="38">
        <f t="shared" si="102"/>
        <v>105640</v>
      </c>
      <c r="GU25" s="11">
        <v>3703045</v>
      </c>
      <c r="GV25" s="12">
        <f t="shared" ref="GV25:GV27" si="114">+GW25+GX25</f>
        <v>3678947</v>
      </c>
      <c r="GW25" s="14">
        <v>473086</v>
      </c>
      <c r="GX25" s="14">
        <v>3205861</v>
      </c>
      <c r="GY25" s="38">
        <f t="shared" si="103"/>
        <v>-24098</v>
      </c>
      <c r="GZ25" s="888">
        <f t="shared" si="52"/>
        <v>83612.431818181823</v>
      </c>
      <c r="HA25" s="12"/>
      <c r="HB25" s="11">
        <v>900000</v>
      </c>
      <c r="HC25" s="12">
        <v>880000</v>
      </c>
      <c r="HD25" s="70"/>
      <c r="HE25" s="41">
        <f t="shared" si="40"/>
        <v>0.13613695005893336</v>
      </c>
      <c r="HF25" s="892"/>
      <c r="HG25" s="12">
        <v>0</v>
      </c>
      <c r="HH25" s="23">
        <f t="shared" si="108"/>
        <v>-20000</v>
      </c>
      <c r="HI25" s="22">
        <f t="shared" si="41"/>
        <v>20000</v>
      </c>
      <c r="HJ25" s="52">
        <f t="shared" ref="HJ25:HJ88" si="115">(GQ25+HC25)/AD25</f>
        <v>63298.454545454544</v>
      </c>
      <c r="HK25" s="23">
        <f t="shared" si="43"/>
        <v>-454.54545454545456</v>
      </c>
      <c r="HL25" s="51"/>
      <c r="HM25" s="51"/>
      <c r="HN25" s="40">
        <v>0</v>
      </c>
      <c r="HO25" s="40">
        <v>0</v>
      </c>
      <c r="HP25" s="22">
        <f t="shared" si="44"/>
        <v>63298.454545454544</v>
      </c>
      <c r="HQ25" s="40">
        <v>0</v>
      </c>
      <c r="HR25" s="22">
        <f t="shared" si="45"/>
        <v>63298.454545454544</v>
      </c>
      <c r="HS25" s="53">
        <f t="shared" si="104"/>
        <v>0.45371634850544579</v>
      </c>
      <c r="HT25" s="40">
        <v>325591.79499999998</v>
      </c>
      <c r="HU25" s="40"/>
      <c r="HV25" s="12">
        <v>0</v>
      </c>
      <c r="HW25" s="98">
        <f t="shared" si="105"/>
        <v>6464079</v>
      </c>
      <c r="HX25" s="243"/>
      <c r="HY25" s="243">
        <f t="shared" si="106"/>
        <v>0</v>
      </c>
      <c r="HZ25" s="118"/>
      <c r="IA25" s="243"/>
      <c r="IB25" s="243"/>
      <c r="IC25" s="118"/>
      <c r="ID25" s="118"/>
      <c r="IE25" s="243"/>
      <c r="IF25" s="118"/>
      <c r="IG25" s="243"/>
      <c r="IH25" s="118"/>
      <c r="II25" s="243"/>
      <c r="IJ25" s="119"/>
      <c r="IK25" s="403"/>
      <c r="IL25" s="338"/>
      <c r="IM25" s="338"/>
      <c r="IN25" s="126"/>
      <c r="IO25" s="243"/>
      <c r="IP25" s="126"/>
      <c r="IQ25" s="243"/>
      <c r="IR25" s="405"/>
      <c r="IS25" s="405"/>
      <c r="IT25" s="405"/>
      <c r="IU25" s="405"/>
      <c r="IV25" s="286"/>
      <c r="IW25" s="286"/>
      <c r="IX25" s="286"/>
      <c r="IY25" s="286"/>
      <c r="IZ25" s="286"/>
      <c r="JA25" s="286"/>
      <c r="JB25" s="243"/>
      <c r="JC25" s="126"/>
      <c r="JD25" s="119"/>
      <c r="JE25" s="126"/>
      <c r="JF25" s="126"/>
      <c r="JG25" s="119"/>
    </row>
    <row r="26" spans="1:267" ht="24.95" customHeight="1">
      <c r="A26" s="24" t="s">
        <v>354</v>
      </c>
      <c r="B26" s="8" t="s">
        <v>34</v>
      </c>
      <c r="C26" s="8" t="s">
        <v>114</v>
      </c>
      <c r="D26" s="8">
        <v>2013</v>
      </c>
      <c r="E26" s="8" t="s">
        <v>51</v>
      </c>
      <c r="F26" s="8" t="s">
        <v>334</v>
      </c>
      <c r="G26" s="8" t="s">
        <v>519</v>
      </c>
      <c r="H26" s="8" t="s">
        <v>260</v>
      </c>
      <c r="I26" s="56"/>
      <c r="J26" s="56" t="s">
        <v>414</v>
      </c>
      <c r="K26" s="502" t="s">
        <v>751</v>
      </c>
      <c r="L26" s="171" t="s">
        <v>63</v>
      </c>
      <c r="M26" s="108" t="s">
        <v>71</v>
      </c>
      <c r="N26" s="109"/>
      <c r="O26" s="217">
        <v>18523</v>
      </c>
      <c r="P26" s="217">
        <v>492000</v>
      </c>
      <c r="Q26" s="217">
        <v>699015</v>
      </c>
      <c r="R26" s="217">
        <f>P26/AD26</f>
        <v>13297.297297297297</v>
      </c>
      <c r="S26" s="217">
        <f t="shared" ref="S26:S27" si="116">P26/O26</f>
        <v>26.56157209955191</v>
      </c>
      <c r="T26" s="217">
        <f t="shared" ref="T26:T27" si="117">Q26/O26</f>
        <v>37.737677482049342</v>
      </c>
      <c r="U26" s="217">
        <f>Q26/(AJ26+AJ62)</f>
        <v>115.25790670410682</v>
      </c>
      <c r="V26" s="217">
        <f>Q26/(AD26+AD62)</f>
        <v>9078.1168831168834</v>
      </c>
      <c r="W26" s="217">
        <f>O26/(AD26+AD62)</f>
        <v>240.55844155844156</v>
      </c>
      <c r="X26" s="218"/>
      <c r="Y26" s="219">
        <f>(AJ26+AJ62)/O26</f>
        <v>0.32741942449927119</v>
      </c>
      <c r="Z26" s="218" t="s">
        <v>202</v>
      </c>
      <c r="AA26" s="220"/>
      <c r="AB26" s="221"/>
      <c r="AC26" s="8" t="s">
        <v>15</v>
      </c>
      <c r="AD26" s="342">
        <f t="shared" si="71"/>
        <v>37</v>
      </c>
      <c r="AE26" s="8">
        <v>37</v>
      </c>
      <c r="AF26" s="9"/>
      <c r="AG26" s="67"/>
      <c r="AH26" s="67"/>
      <c r="AI26" s="10">
        <v>3305.14</v>
      </c>
      <c r="AJ26" s="85">
        <v>3681.47</v>
      </c>
      <c r="AK26" s="10">
        <f t="shared" si="72"/>
        <v>99.499189189189181</v>
      </c>
      <c r="AL26" s="62"/>
      <c r="AM26" s="62"/>
      <c r="AN26" s="62"/>
      <c r="AO26" s="62"/>
      <c r="AP26" s="62"/>
      <c r="AQ26" s="10">
        <v>3236</v>
      </c>
      <c r="AR26" s="79"/>
      <c r="AS26" s="81">
        <f t="shared" si="73"/>
        <v>0</v>
      </c>
      <c r="AT26" s="60">
        <v>3.5</v>
      </c>
      <c r="AU26" s="59" t="s">
        <v>626</v>
      </c>
      <c r="AV26" s="19" t="s">
        <v>121</v>
      </c>
      <c r="AW26" s="194">
        <v>41170</v>
      </c>
      <c r="AX26" s="194">
        <v>40963</v>
      </c>
      <c r="AY26" s="112" t="s">
        <v>11</v>
      </c>
      <c r="AZ26" s="112" t="s">
        <v>149</v>
      </c>
      <c r="BA26" s="576"/>
      <c r="BB26" s="214">
        <v>41493</v>
      </c>
      <c r="BC26" s="101"/>
      <c r="BD26" s="101">
        <v>41537</v>
      </c>
      <c r="BE26" s="214">
        <v>41543</v>
      </c>
      <c r="BF26" s="101"/>
      <c r="BG26" s="169">
        <v>41549</v>
      </c>
      <c r="BH26" s="212">
        <v>41576</v>
      </c>
      <c r="BI26" s="170">
        <f>DATE(YEAR(BH26),MONTH(BH26)+3,DAY(BH26))</f>
        <v>41668</v>
      </c>
      <c r="BJ26" s="170"/>
      <c r="BK26" s="320">
        <v>41659</v>
      </c>
      <c r="BL26" s="319">
        <f t="shared" si="74"/>
        <v>42389</v>
      </c>
      <c r="BM26" s="319">
        <f t="shared" si="75"/>
        <v>42755</v>
      </c>
      <c r="BN26" s="319" t="str">
        <f t="shared" si="107"/>
        <v>oui</v>
      </c>
      <c r="BO26" s="170"/>
      <c r="BP26" s="169">
        <v>41652</v>
      </c>
      <c r="BQ26" s="102"/>
      <c r="BR26" s="103"/>
      <c r="BS26" s="103"/>
      <c r="BT26" s="106"/>
      <c r="BU26" s="165" t="s">
        <v>150</v>
      </c>
      <c r="BV26" s="330">
        <v>41635</v>
      </c>
      <c r="BW26" s="266"/>
      <c r="BX26" s="166">
        <v>13003860.789999999</v>
      </c>
      <c r="BY26" s="172">
        <f t="shared" si="76"/>
        <v>42182</v>
      </c>
      <c r="BZ26" s="266"/>
      <c r="CA26" s="441">
        <v>42159</v>
      </c>
      <c r="CB26" s="266">
        <v>42731</v>
      </c>
      <c r="CC26" s="780">
        <f t="shared" ref="CC26:CC27" si="118">(CX26-CB26)/30</f>
        <v>-0.9</v>
      </c>
      <c r="CD26" s="617"/>
      <c r="CE26" s="448">
        <v>41801</v>
      </c>
      <c r="CF26" s="442">
        <v>2014</v>
      </c>
      <c r="CG26" s="601">
        <f t="shared" si="5"/>
        <v>10.266666666666667</v>
      </c>
      <c r="CH26" s="254">
        <v>24</v>
      </c>
      <c r="CI26" s="128">
        <f t="shared" si="77"/>
        <v>25</v>
      </c>
      <c r="CJ26" s="255">
        <f t="shared" si="78"/>
        <v>28</v>
      </c>
      <c r="CK26" s="255">
        <f t="shared" si="79"/>
        <v>29</v>
      </c>
      <c r="CL26" s="255">
        <f t="shared" si="80"/>
        <v>4</v>
      </c>
      <c r="CM26" s="255">
        <f t="shared" si="81"/>
        <v>4</v>
      </c>
      <c r="CN26" s="245">
        <f>277640.753085829/12</f>
        <v>23136.729423819084</v>
      </c>
      <c r="CO26" s="245">
        <f t="shared" si="112"/>
        <v>92546.917695276337</v>
      </c>
      <c r="CP26" s="248">
        <v>42538</v>
      </c>
      <c r="CQ26" s="751">
        <f t="shared" si="82"/>
        <v>42532</v>
      </c>
      <c r="CR26" s="448">
        <v>42682</v>
      </c>
      <c r="CS26" s="830">
        <v>42735</v>
      </c>
      <c r="CT26" s="248">
        <v>42726</v>
      </c>
      <c r="CU26" s="879">
        <f t="shared" si="49"/>
        <v>3.4250000000000003</v>
      </c>
      <c r="CV26" s="248">
        <v>42744</v>
      </c>
      <c r="CW26" s="800">
        <v>42692</v>
      </c>
      <c r="CX26" s="453">
        <v>42704</v>
      </c>
      <c r="CY26" s="621">
        <v>2016</v>
      </c>
      <c r="CZ26" s="248">
        <v>42670</v>
      </c>
      <c r="DA26" s="401" t="s">
        <v>129</v>
      </c>
      <c r="DB26" s="401" t="s">
        <v>129</v>
      </c>
      <c r="DC26" s="401" t="s">
        <v>129</v>
      </c>
      <c r="DD26" s="401" t="s">
        <v>129</v>
      </c>
      <c r="DE26" s="322" t="s">
        <v>588</v>
      </c>
      <c r="DF26" s="863" t="s">
        <v>129</v>
      </c>
      <c r="DG26" s="126">
        <f t="shared" si="111"/>
        <v>43047</v>
      </c>
      <c r="DH26" s="200">
        <v>42795</v>
      </c>
      <c r="DI26" s="56"/>
      <c r="DJ26" s="56"/>
      <c r="DK26" s="56"/>
      <c r="DL26" s="56"/>
      <c r="DM26" s="341">
        <v>42795</v>
      </c>
      <c r="DN26" s="561" t="s">
        <v>711</v>
      </c>
      <c r="DO26" s="56" t="s">
        <v>470</v>
      </c>
      <c r="DP26" s="247" t="s">
        <v>129</v>
      </c>
      <c r="DQ26" s="193"/>
      <c r="DR26" s="119" t="s">
        <v>129</v>
      </c>
      <c r="DS26" s="56"/>
      <c r="DT26" s="126"/>
      <c r="DU26" s="126"/>
      <c r="DV26" s="126"/>
      <c r="DW26" s="691" t="str">
        <f t="shared" si="83"/>
        <v>0</v>
      </c>
      <c r="DX26" s="126"/>
      <c r="DY26" s="126"/>
      <c r="DZ26" s="691" t="str">
        <f t="shared" si="84"/>
        <v>0</v>
      </c>
      <c r="EA26" s="126"/>
      <c r="EB26" s="126"/>
      <c r="EC26" s="691" t="str">
        <f t="shared" si="85"/>
        <v>0</v>
      </c>
      <c r="ED26" s="126"/>
      <c r="EE26" s="126"/>
      <c r="EF26" s="691" t="str">
        <f t="shared" si="86"/>
        <v>0</v>
      </c>
      <c r="EG26" s="133"/>
      <c r="EH26" s="745"/>
      <c r="EI26" s="691" t="str">
        <f t="shared" si="87"/>
        <v>0</v>
      </c>
      <c r="EJ26" s="243"/>
      <c r="EK26" s="126"/>
      <c r="EL26" s="243"/>
      <c r="EM26" s="691" t="str">
        <f t="shared" si="88"/>
        <v>0</v>
      </c>
      <c r="EN26" s="126"/>
      <c r="EO26" s="243"/>
      <c r="EP26" s="691" t="str">
        <f t="shared" si="89"/>
        <v>0</v>
      </c>
      <c r="EQ26" s="126"/>
      <c r="ER26" s="243"/>
      <c r="ES26" s="691" t="str">
        <f t="shared" si="90"/>
        <v>0</v>
      </c>
      <c r="ET26" s="747"/>
      <c r="EU26" s="743"/>
      <c r="EV26" s="694" t="str">
        <f t="shared" si="91"/>
        <v>0</v>
      </c>
      <c r="EW26" s="133"/>
      <c r="EX26" s="748"/>
      <c r="EY26" s="691" t="str">
        <f t="shared" si="92"/>
        <v>0</v>
      </c>
      <c r="EZ26" s="126"/>
      <c r="FA26" s="126"/>
      <c r="FB26" s="691" t="str">
        <f t="shared" si="93"/>
        <v>0</v>
      </c>
      <c r="FC26" s="126"/>
      <c r="FD26" s="126"/>
      <c r="FE26" s="691" t="str">
        <f t="shared" si="94"/>
        <v>0</v>
      </c>
      <c r="FF26" s="126"/>
      <c r="FG26" s="126"/>
      <c r="FH26" s="691" t="str">
        <f t="shared" si="95"/>
        <v>0</v>
      </c>
      <c r="FI26" s="126"/>
      <c r="FJ26" s="126"/>
      <c r="FK26" s="691" t="str">
        <f t="shared" si="96"/>
        <v>0</v>
      </c>
      <c r="FL26" s="126"/>
      <c r="FM26" s="126"/>
      <c r="FN26" s="126"/>
      <c r="FO26" s="701"/>
      <c r="FP26" s="701"/>
      <c r="FQ26" s="699">
        <f t="shared" si="97"/>
        <v>0</v>
      </c>
      <c r="FR26" s="701"/>
      <c r="FS26" s="701"/>
      <c r="FT26" s="723"/>
      <c r="FU26" s="723"/>
      <c r="FV26" s="727"/>
      <c r="FW26" s="727"/>
      <c r="FX26" s="728">
        <f t="shared" si="98"/>
        <v>0</v>
      </c>
      <c r="FY26" s="728">
        <f t="shared" si="99"/>
        <v>0</v>
      </c>
      <c r="FZ26" s="724"/>
      <c r="GA26" s="741"/>
      <c r="GB26" s="724"/>
      <c r="GC26" s="724"/>
      <c r="GD26" s="113" t="s">
        <v>121</v>
      </c>
      <c r="GE26" s="828">
        <v>6447379</v>
      </c>
      <c r="GF26" s="11">
        <f>+GP26+GU26+HB26+HV26</f>
        <v>6447379</v>
      </c>
      <c r="GG26" s="584">
        <f t="shared" si="110"/>
        <v>7137960</v>
      </c>
      <c r="GH26" s="13">
        <f t="shared" si="100"/>
        <v>690581</v>
      </c>
      <c r="GI26" s="52">
        <f t="shared" si="50"/>
        <v>2159.6543565476804</v>
      </c>
      <c r="GJ26" s="52">
        <f t="shared" si="51"/>
        <v>192917.83783783784</v>
      </c>
      <c r="GK26" s="11">
        <v>5795250</v>
      </c>
      <c r="GL26" s="12">
        <v>6458898</v>
      </c>
      <c r="GM26" s="13">
        <f t="shared" si="101"/>
        <v>663648</v>
      </c>
      <c r="GN26" s="135">
        <f t="shared" si="113"/>
        <v>0.91772955335803885</v>
      </c>
      <c r="GO26" s="136"/>
      <c r="GP26" s="11">
        <v>2155832</v>
      </c>
      <c r="GQ26" s="12">
        <v>2453735</v>
      </c>
      <c r="GR26" s="70"/>
      <c r="GS26" s="22">
        <f t="shared" si="36"/>
        <v>66317.16216216216</v>
      </c>
      <c r="GT26" s="38">
        <f t="shared" si="102"/>
        <v>297903</v>
      </c>
      <c r="GU26" s="11">
        <v>4291546</v>
      </c>
      <c r="GV26" s="12">
        <f t="shared" si="114"/>
        <v>4684224</v>
      </c>
      <c r="GW26" s="14">
        <v>641413</v>
      </c>
      <c r="GX26" s="14">
        <v>4042811</v>
      </c>
      <c r="GY26" s="38">
        <f t="shared" si="103"/>
        <v>392678</v>
      </c>
      <c r="GZ26" s="888">
        <f t="shared" si="52"/>
        <v>126600.64864864865</v>
      </c>
      <c r="HA26" s="12"/>
      <c r="HB26" s="11">
        <v>1</v>
      </c>
      <c r="HC26" s="12">
        <v>1</v>
      </c>
      <c r="HD26" s="70"/>
      <c r="HE26" s="41">
        <f t="shared" si="40"/>
        <v>1.4009604985177837E-7</v>
      </c>
      <c r="HF26" s="892"/>
      <c r="HG26" s="12">
        <v>0</v>
      </c>
      <c r="HH26" s="23">
        <f t="shared" si="108"/>
        <v>0</v>
      </c>
      <c r="HI26" s="22">
        <f t="shared" si="41"/>
        <v>2.7027027027027029E-2</v>
      </c>
      <c r="HJ26" s="52">
        <f t="shared" si="115"/>
        <v>66317.189189189186</v>
      </c>
      <c r="HK26" s="23">
        <f t="shared" si="43"/>
        <v>0</v>
      </c>
      <c r="HL26" s="51"/>
      <c r="HM26" s="51"/>
      <c r="HN26" s="40">
        <v>2196102.662575</v>
      </c>
      <c r="HO26" s="40">
        <v>1303101.6922500001</v>
      </c>
      <c r="HP26" s="22">
        <f t="shared" si="44"/>
        <v>101536.15384459461</v>
      </c>
      <c r="HQ26" s="40">
        <v>0</v>
      </c>
      <c r="HR26" s="22">
        <f t="shared" si="45"/>
        <v>101536.15384459461</v>
      </c>
      <c r="HS26" s="53">
        <f t="shared" si="104"/>
        <v>0.41994795777936861</v>
      </c>
      <c r="HT26" s="40">
        <v>388102.52</v>
      </c>
      <c r="HU26" s="40"/>
      <c r="HV26" s="590">
        <v>0</v>
      </c>
      <c r="HW26" s="42">
        <f t="shared" si="105"/>
        <v>9334062.662574999</v>
      </c>
      <c r="HX26" s="243">
        <v>657747</v>
      </c>
      <c r="HY26" s="243">
        <f t="shared" si="106"/>
        <v>328481</v>
      </c>
      <c r="HZ26" s="118">
        <v>40945</v>
      </c>
      <c r="IA26" s="243">
        <v>42492</v>
      </c>
      <c r="IB26" s="243"/>
      <c r="IC26" s="118"/>
      <c r="ID26" s="118"/>
      <c r="IE26" s="243"/>
      <c r="IF26" s="118">
        <v>41407</v>
      </c>
      <c r="IG26" s="243">
        <v>121749</v>
      </c>
      <c r="IH26" s="118">
        <v>41485</v>
      </c>
      <c r="II26" s="243">
        <v>65696</v>
      </c>
      <c r="IJ26" s="119">
        <v>41570</v>
      </c>
      <c r="IK26" s="403">
        <v>98544</v>
      </c>
      <c r="IL26" s="338"/>
      <c r="IM26" s="338"/>
      <c r="IN26" s="126"/>
      <c r="IO26" s="243"/>
      <c r="IP26" s="126"/>
      <c r="IQ26" s="243"/>
      <c r="IR26" s="119"/>
      <c r="IS26" s="119"/>
      <c r="IT26" s="119"/>
      <c r="IU26" s="119"/>
      <c r="IV26" s="286"/>
      <c r="IW26" s="286"/>
      <c r="IX26" s="286"/>
      <c r="IY26" s="286"/>
      <c r="IZ26" s="286"/>
      <c r="JA26" s="286"/>
      <c r="JB26" s="243">
        <v>121749</v>
      </c>
      <c r="JC26" s="126"/>
      <c r="JD26" s="119"/>
      <c r="JE26" s="126"/>
      <c r="JF26" s="126"/>
      <c r="JG26" s="119"/>
    </row>
    <row r="27" spans="1:267" ht="24.95" customHeight="1">
      <c r="A27" s="913" t="s">
        <v>426</v>
      </c>
      <c r="B27" s="8" t="s">
        <v>35</v>
      </c>
      <c r="C27" s="8" t="s">
        <v>113</v>
      </c>
      <c r="D27" s="8">
        <v>2012</v>
      </c>
      <c r="E27" s="8" t="s">
        <v>90</v>
      </c>
      <c r="F27" s="8" t="s">
        <v>424</v>
      </c>
      <c r="G27" s="8" t="s">
        <v>519</v>
      </c>
      <c r="H27" s="8" t="s">
        <v>260</v>
      </c>
      <c r="I27" s="56"/>
      <c r="J27" s="56"/>
      <c r="K27" s="272"/>
      <c r="L27" s="163"/>
      <c r="M27" s="163"/>
      <c r="N27" s="163"/>
      <c r="O27" s="217">
        <v>2666</v>
      </c>
      <c r="P27" s="217">
        <v>209000</v>
      </c>
      <c r="Q27" s="217">
        <v>154394</v>
      </c>
      <c r="R27" s="217">
        <f>P27/AD27</f>
        <v>12294.117647058823</v>
      </c>
      <c r="S27" s="217">
        <f t="shared" si="116"/>
        <v>78.394598649662413</v>
      </c>
      <c r="T27" s="217">
        <f t="shared" si="117"/>
        <v>57.912228057014254</v>
      </c>
      <c r="U27" s="217">
        <f>Q27/AJ27</f>
        <v>124.49121109498468</v>
      </c>
      <c r="V27" s="217">
        <f>Q27/AD27</f>
        <v>9082</v>
      </c>
      <c r="W27" s="217">
        <f>O27/AD27</f>
        <v>156.8235294117647</v>
      </c>
      <c r="X27" s="217"/>
      <c r="Y27" s="219">
        <f>AJ27/O27</f>
        <v>0.46519129782445612</v>
      </c>
      <c r="Z27" s="218" t="s">
        <v>192</v>
      </c>
      <c r="AA27" s="220"/>
      <c r="AB27" s="221"/>
      <c r="AC27" s="8" t="s">
        <v>16</v>
      </c>
      <c r="AD27" s="342">
        <f t="shared" si="71"/>
        <v>17</v>
      </c>
      <c r="AE27" s="9"/>
      <c r="AF27" s="8">
        <v>17</v>
      </c>
      <c r="AG27" s="56"/>
      <c r="AH27" s="56"/>
      <c r="AI27" s="10">
        <v>1240.2</v>
      </c>
      <c r="AJ27" s="85">
        <v>1240.2</v>
      </c>
      <c r="AK27" s="10">
        <f t="shared" si="72"/>
        <v>72.952941176470588</v>
      </c>
      <c r="AL27" s="60"/>
      <c r="AM27" s="60"/>
      <c r="AN27" s="60"/>
      <c r="AO27" s="60"/>
      <c r="AP27" s="60"/>
      <c r="AQ27" s="10">
        <v>760</v>
      </c>
      <c r="AR27" s="79">
        <f>30*10</f>
        <v>300</v>
      </c>
      <c r="AS27" s="81">
        <f t="shared" si="73"/>
        <v>0.11252813203300825</v>
      </c>
      <c r="AT27" s="60">
        <v>3</v>
      </c>
      <c r="AU27" s="59" t="s">
        <v>626</v>
      </c>
      <c r="AV27" s="10" t="s">
        <v>122</v>
      </c>
      <c r="AW27" s="309"/>
      <c r="AX27" s="250">
        <v>40963</v>
      </c>
      <c r="AY27" s="574" t="s">
        <v>11</v>
      </c>
      <c r="AZ27" s="574" t="s">
        <v>230</v>
      </c>
      <c r="BA27" s="2"/>
      <c r="BB27" s="214">
        <v>41170</v>
      </c>
      <c r="BC27" s="101"/>
      <c r="BD27" s="101"/>
      <c r="BE27" s="214">
        <v>41225</v>
      </c>
      <c r="BF27" s="101"/>
      <c r="BG27" s="579"/>
      <c r="BH27" s="211"/>
      <c r="BI27" s="104"/>
      <c r="BJ27" s="104"/>
      <c r="BK27" s="319">
        <v>41319</v>
      </c>
      <c r="BL27" s="319">
        <f t="shared" si="74"/>
        <v>42049</v>
      </c>
      <c r="BM27" s="319">
        <f t="shared" si="75"/>
        <v>42414</v>
      </c>
      <c r="BN27" s="319" t="str">
        <f t="shared" si="107"/>
        <v>oui</v>
      </c>
      <c r="BO27" s="104"/>
      <c r="BP27" s="579"/>
      <c r="BQ27" s="104"/>
      <c r="BR27" s="116"/>
      <c r="BS27" s="116"/>
      <c r="BT27" s="116"/>
      <c r="BU27" s="165" t="s">
        <v>145</v>
      </c>
      <c r="BV27" s="330">
        <v>41255</v>
      </c>
      <c r="BW27" s="266"/>
      <c r="BX27" s="166">
        <f>2504271.14/1.021</f>
        <v>2452763.1145935361</v>
      </c>
      <c r="BY27" s="172">
        <f t="shared" si="76"/>
        <v>41802</v>
      </c>
      <c r="BZ27" s="266">
        <f>DATE(YEAR(BV27),MONTH(BV27)+24,DAY(BV27))</f>
        <v>41985</v>
      </c>
      <c r="CA27" s="441">
        <v>41744</v>
      </c>
      <c r="CB27" s="266">
        <v>42047</v>
      </c>
      <c r="CC27" s="780">
        <f t="shared" si="118"/>
        <v>22.633333333333333</v>
      </c>
      <c r="CD27" s="617"/>
      <c r="CE27" s="451">
        <v>41309</v>
      </c>
      <c r="CF27" s="442">
        <v>2013</v>
      </c>
      <c r="CG27" s="601">
        <f t="shared" si="5"/>
        <v>4.6333333333333337</v>
      </c>
      <c r="CH27" s="270">
        <v>14</v>
      </c>
      <c r="CI27" s="254">
        <f t="shared" si="77"/>
        <v>15</v>
      </c>
      <c r="CJ27" s="408">
        <f t="shared" si="78"/>
        <v>46</v>
      </c>
      <c r="CK27" s="254">
        <f t="shared" si="79"/>
        <v>46</v>
      </c>
      <c r="CL27" s="408">
        <f t="shared" si="80"/>
        <v>32</v>
      </c>
      <c r="CM27" s="254">
        <f t="shared" si="81"/>
        <v>31</v>
      </c>
      <c r="CN27" s="409">
        <f>79535/12</f>
        <v>6627.916666666667</v>
      </c>
      <c r="CO27" s="409">
        <f t="shared" si="112"/>
        <v>212093.33333333334</v>
      </c>
      <c r="CP27" s="249" t="s">
        <v>129</v>
      </c>
      <c r="CQ27" s="858">
        <f t="shared" si="82"/>
        <v>41733</v>
      </c>
      <c r="CR27" s="451">
        <v>42713</v>
      </c>
      <c r="CS27" s="873">
        <f t="shared" ref="CS27" si="119">DATE(YEAR(CA27)+2,MONTH(CA27),DAY(CA27))</f>
        <v>42475</v>
      </c>
      <c r="CT27" s="249">
        <v>42788</v>
      </c>
      <c r="CU27" s="881">
        <f t="shared" si="49"/>
        <v>4.4944444444444445</v>
      </c>
      <c r="CV27" s="249" t="s">
        <v>605</v>
      </c>
      <c r="CW27" s="858" t="s">
        <v>129</v>
      </c>
      <c r="CX27" s="453">
        <v>42726</v>
      </c>
      <c r="CY27" s="621">
        <v>2016</v>
      </c>
      <c r="CZ27" s="249" t="s">
        <v>129</v>
      </c>
      <c r="DA27" s="123" t="s">
        <v>585</v>
      </c>
      <c r="DB27" s="123"/>
      <c r="DC27" s="401" t="s">
        <v>645</v>
      </c>
      <c r="DD27" s="123" t="s">
        <v>646</v>
      </c>
      <c r="DE27" s="210">
        <v>42928</v>
      </c>
      <c r="DF27" s="210">
        <v>43000</v>
      </c>
      <c r="DG27" s="126">
        <f t="shared" si="111"/>
        <v>43078</v>
      </c>
      <c r="DH27" s="204">
        <v>42779</v>
      </c>
      <c r="DI27" s="204">
        <v>42779</v>
      </c>
      <c r="DJ27" s="125"/>
      <c r="DK27" s="125"/>
      <c r="DL27" s="125"/>
      <c r="DM27" s="125">
        <v>42915</v>
      </c>
      <c r="DN27" s="125"/>
      <c r="DO27" s="125"/>
      <c r="DP27" s="247">
        <v>42808</v>
      </c>
      <c r="DQ27" s="247" t="s">
        <v>129</v>
      </c>
      <c r="DR27" s="125"/>
      <c r="DS27" s="125"/>
      <c r="DT27" s="126"/>
      <c r="DU27" s="126"/>
      <c r="DV27" s="126"/>
      <c r="DW27" s="691" t="str">
        <f t="shared" si="83"/>
        <v>0</v>
      </c>
      <c r="DX27" s="126"/>
      <c r="DY27" s="126"/>
      <c r="DZ27" s="691" t="str">
        <f t="shared" si="84"/>
        <v>0</v>
      </c>
      <c r="EA27" s="126"/>
      <c r="EB27" s="126"/>
      <c r="EC27" s="691" t="str">
        <f t="shared" si="85"/>
        <v>0</v>
      </c>
      <c r="ED27" s="126"/>
      <c r="EE27" s="126"/>
      <c r="EF27" s="691" t="str">
        <f t="shared" si="86"/>
        <v>0</v>
      </c>
      <c r="EG27" s="133"/>
      <c r="EH27" s="745"/>
      <c r="EI27" s="691" t="str">
        <f t="shared" si="87"/>
        <v>0</v>
      </c>
      <c r="EJ27" s="243"/>
      <c r="EK27" s="701"/>
      <c r="EL27" s="696"/>
      <c r="EM27" s="697" t="str">
        <f t="shared" si="88"/>
        <v>0</v>
      </c>
      <c r="EN27" s="701"/>
      <c r="EO27" s="696"/>
      <c r="EP27" s="697" t="str">
        <f t="shared" si="89"/>
        <v>0</v>
      </c>
      <c r="EQ27" s="701"/>
      <c r="ER27" s="696"/>
      <c r="ES27" s="697" t="str">
        <f t="shared" si="90"/>
        <v>0</v>
      </c>
      <c r="ET27" s="704"/>
      <c r="EU27" s="722"/>
      <c r="EV27" s="698" t="str">
        <f t="shared" si="91"/>
        <v>0</v>
      </c>
      <c r="EW27" s="699"/>
      <c r="EX27" s="700">
        <f ca="1">IF(EW27&lt;TODAY(),TODAY(),EW27)</f>
        <v>43188</v>
      </c>
      <c r="EY27" s="697" t="str">
        <f t="shared" ca="1" si="92"/>
        <v>0</v>
      </c>
      <c r="EZ27" s="701"/>
      <c r="FA27" s="701"/>
      <c r="FB27" s="697" t="str">
        <f t="shared" si="93"/>
        <v>0</v>
      </c>
      <c r="FC27" s="701"/>
      <c r="FD27" s="701"/>
      <c r="FE27" s="697" t="str">
        <f t="shared" si="94"/>
        <v>0</v>
      </c>
      <c r="FF27" s="701"/>
      <c r="FG27" s="701"/>
      <c r="FH27" s="697" t="str">
        <f t="shared" si="95"/>
        <v>0</v>
      </c>
      <c r="FI27" s="701"/>
      <c r="FJ27" s="701"/>
      <c r="FK27" s="697" t="str">
        <f t="shared" si="96"/>
        <v>0</v>
      </c>
      <c r="FL27" s="701"/>
      <c r="FM27" s="701"/>
      <c r="FN27" s="701"/>
      <c r="FO27" s="701"/>
      <c r="FP27" s="701"/>
      <c r="FQ27" s="699">
        <f t="shared" si="97"/>
        <v>0</v>
      </c>
      <c r="FR27" s="701"/>
      <c r="FS27" s="701">
        <f>CX27</f>
        <v>42726</v>
      </c>
      <c r="FT27" s="723"/>
      <c r="FU27" s="723"/>
      <c r="FV27" s="727"/>
      <c r="FW27" s="727"/>
      <c r="FX27" s="728">
        <f t="shared" si="98"/>
        <v>0</v>
      </c>
      <c r="FY27" s="728">
        <f t="shared" si="99"/>
        <v>1424.2</v>
      </c>
      <c r="FZ27" s="724"/>
      <c r="GA27" s="741" t="s">
        <v>882</v>
      </c>
      <c r="GB27" s="724"/>
      <c r="GC27" s="724"/>
      <c r="GD27" s="164"/>
      <c r="GE27" s="826">
        <v>2618300</v>
      </c>
      <c r="GF27" s="11">
        <v>3231832.2199999997</v>
      </c>
      <c r="GG27" s="584">
        <f>GQ27+GV27+HC27+HV27+HA27+HG27+HF27+HD27</f>
        <v>3203900</v>
      </c>
      <c r="GH27" s="13">
        <f t="shared" si="100"/>
        <v>-27932.219999999739</v>
      </c>
      <c r="GI27" s="52">
        <f t="shared" si="50"/>
        <v>2583.373649411385</v>
      </c>
      <c r="GJ27" s="52">
        <f t="shared" si="51"/>
        <v>188464.70588235295</v>
      </c>
      <c r="GK27" s="11">
        <v>2379882</v>
      </c>
      <c r="GL27" s="12"/>
      <c r="GM27" s="13">
        <f t="shared" si="101"/>
        <v>-2379882</v>
      </c>
      <c r="GN27" s="135">
        <f t="shared" si="113"/>
        <v>0.75185200115369855</v>
      </c>
      <c r="GO27" s="136"/>
      <c r="GP27" s="11">
        <v>750247</v>
      </c>
      <c r="GQ27" s="12">
        <v>750248</v>
      </c>
      <c r="GR27" s="70"/>
      <c r="GS27" s="22">
        <f t="shared" si="36"/>
        <v>44132.23529411765</v>
      </c>
      <c r="GT27" s="38">
        <f t="shared" si="102"/>
        <v>1</v>
      </c>
      <c r="GU27" s="11">
        <v>1395754</v>
      </c>
      <c r="GV27" s="12">
        <f t="shared" si="114"/>
        <v>1395754</v>
      </c>
      <c r="GW27" s="14">
        <v>259962</v>
      </c>
      <c r="GX27" s="14">
        <v>1135792</v>
      </c>
      <c r="GY27" s="38">
        <f t="shared" si="103"/>
        <v>0</v>
      </c>
      <c r="GZ27" s="888">
        <f t="shared" si="52"/>
        <v>82103.176470588238</v>
      </c>
      <c r="HA27" s="12">
        <v>0</v>
      </c>
      <c r="HB27" s="11">
        <f>254997+85000</f>
        <v>339997</v>
      </c>
      <c r="HC27" s="16">
        <v>254997</v>
      </c>
      <c r="HD27" s="69">
        <v>85000</v>
      </c>
      <c r="HE27" s="41">
        <f t="shared" si="40"/>
        <v>7.9589562720434465E-2</v>
      </c>
      <c r="HF27" s="892">
        <v>717901</v>
      </c>
      <c r="HG27" s="16">
        <v>0</v>
      </c>
      <c r="HH27" s="23">
        <f>HC27-HB27+HD27</f>
        <v>0</v>
      </c>
      <c r="HI27" s="22">
        <f t="shared" si="41"/>
        <v>14999.823529411764</v>
      </c>
      <c r="HJ27" s="52">
        <f t="shared" si="115"/>
        <v>59132.058823529413</v>
      </c>
      <c r="HK27" s="23">
        <f t="shared" si="43"/>
        <v>0</v>
      </c>
      <c r="HL27" s="51"/>
      <c r="HM27" s="51"/>
      <c r="HN27" s="40">
        <v>508572.84914999997</v>
      </c>
      <c r="HO27" s="40">
        <v>340000</v>
      </c>
      <c r="HP27" s="22">
        <f t="shared" si="44"/>
        <v>79132.058823529413</v>
      </c>
      <c r="HQ27" s="40">
        <v>0</v>
      </c>
      <c r="HR27" s="22">
        <f t="shared" si="45"/>
        <v>79132.058823529413</v>
      </c>
      <c r="HS27" s="53">
        <f t="shared" si="104"/>
        <v>0.37842672261036625</v>
      </c>
      <c r="HT27" s="40">
        <v>157636.68239999999</v>
      </c>
      <c r="HU27" s="40"/>
      <c r="HV27" s="590"/>
      <c r="HW27" s="42">
        <f t="shared" si="105"/>
        <v>3712472.8491500001</v>
      </c>
      <c r="HX27" s="243"/>
      <c r="HY27" s="243">
        <f t="shared" si="106"/>
        <v>0</v>
      </c>
      <c r="HZ27" s="118"/>
      <c r="IA27" s="243"/>
      <c r="IB27" s="243"/>
      <c r="IC27" s="118"/>
      <c r="ID27" s="118"/>
      <c r="IE27" s="243"/>
      <c r="IF27" s="118"/>
      <c r="IG27" s="243"/>
      <c r="IH27" s="118"/>
      <c r="II27" s="243"/>
      <c r="IJ27" s="119"/>
      <c r="IK27" s="403"/>
      <c r="IL27" s="338"/>
      <c r="IM27" s="338"/>
      <c r="IN27" s="126"/>
      <c r="IO27" s="243"/>
      <c r="IP27" s="126"/>
      <c r="IQ27" s="243"/>
      <c r="IR27" s="119"/>
      <c r="IS27" s="119"/>
      <c r="IT27" s="119"/>
      <c r="IU27" s="119"/>
      <c r="IV27" s="286"/>
      <c r="IW27" s="286"/>
      <c r="IX27" s="286"/>
      <c r="IY27" s="286"/>
      <c r="IZ27" s="286"/>
      <c r="JA27" s="286"/>
      <c r="JB27" s="243"/>
      <c r="JC27" s="126"/>
      <c r="JD27" s="119"/>
      <c r="JE27" s="126"/>
      <c r="JF27" s="126"/>
      <c r="JG27" s="119"/>
    </row>
    <row r="28" spans="1:267" s="65" customFormat="1" ht="24.95" customHeight="1">
      <c r="A28" s="913" t="s">
        <v>79</v>
      </c>
      <c r="B28" s="8" t="s">
        <v>35</v>
      </c>
      <c r="C28" s="8" t="s">
        <v>113</v>
      </c>
      <c r="D28" s="8">
        <v>2012</v>
      </c>
      <c r="E28" s="8" t="s">
        <v>89</v>
      </c>
      <c r="F28" s="8" t="s">
        <v>423</v>
      </c>
      <c r="G28" s="8" t="s">
        <v>725</v>
      </c>
      <c r="H28" s="8" t="s">
        <v>428</v>
      </c>
      <c r="I28" s="56"/>
      <c r="J28" s="56"/>
      <c r="K28" s="502" t="s">
        <v>675</v>
      </c>
      <c r="L28" s="163"/>
      <c r="M28" s="163"/>
      <c r="N28" s="163"/>
      <c r="O28" s="217">
        <v>12495</v>
      </c>
      <c r="P28" s="217">
        <v>825000</v>
      </c>
      <c r="Q28" s="217">
        <v>546365</v>
      </c>
      <c r="R28" s="217">
        <f>P28/AD28</f>
        <v>12692.307692307691</v>
      </c>
      <c r="S28" s="217">
        <f>P28/O28</f>
        <v>66.026410564225685</v>
      </c>
      <c r="T28" s="217">
        <f>Q28/O28</f>
        <v>43.726690676270508</v>
      </c>
      <c r="U28" s="217">
        <f>Q28/AJ28</f>
        <v>102.74383478695837</v>
      </c>
      <c r="V28" s="217">
        <f>Q28/AD28</f>
        <v>8405.6153846153848</v>
      </c>
      <c r="W28" s="217">
        <f>O28/AD28</f>
        <v>192.23076923076923</v>
      </c>
      <c r="X28" s="217"/>
      <c r="Y28" s="219">
        <f>AJ28/O28</f>
        <v>0.42558943577430969</v>
      </c>
      <c r="Z28" s="218" t="s">
        <v>210</v>
      </c>
      <c r="AA28" s="220">
        <v>850</v>
      </c>
      <c r="AB28" s="221"/>
      <c r="AC28" s="8" t="s">
        <v>16</v>
      </c>
      <c r="AD28" s="342">
        <f t="shared" ref="AD28:AD48" si="120">SUM(AE28:AH28)</f>
        <v>65</v>
      </c>
      <c r="AE28" s="9"/>
      <c r="AF28" s="8">
        <v>65</v>
      </c>
      <c r="AG28" s="56"/>
      <c r="AH28" s="56"/>
      <c r="AI28" s="10">
        <v>5311.74</v>
      </c>
      <c r="AJ28" s="85">
        <v>5317.74</v>
      </c>
      <c r="AK28" s="10">
        <f t="shared" ref="AK28:AK44" si="121">AJ28/AD28</f>
        <v>81.811384615384611</v>
      </c>
      <c r="AL28" s="81">
        <f>0/AD28</f>
        <v>0</v>
      </c>
      <c r="AM28" s="81">
        <f>19/AD28</f>
        <v>0.29230769230769232</v>
      </c>
      <c r="AN28" s="81">
        <f>20/AD28</f>
        <v>0.30769230769230771</v>
      </c>
      <c r="AO28" s="81">
        <f>23/AD28</f>
        <v>0.35384615384615387</v>
      </c>
      <c r="AP28" s="81">
        <f>3/AD28</f>
        <v>4.6153846153846156E-2</v>
      </c>
      <c r="AQ28" s="10" t="s">
        <v>207</v>
      </c>
      <c r="AR28" s="79">
        <v>2000</v>
      </c>
      <c r="AS28" s="81">
        <f t="shared" ref="AS28:AS38" si="122">AR28/O28</f>
        <v>0.1600640256102441</v>
      </c>
      <c r="AT28" s="60">
        <v>2.5</v>
      </c>
      <c r="AU28" s="59" t="s">
        <v>626</v>
      </c>
      <c r="AV28" s="10"/>
      <c r="AW28" s="56"/>
      <c r="AX28" s="194">
        <v>40963</v>
      </c>
      <c r="AY28" s="574" t="s">
        <v>12</v>
      </c>
      <c r="AZ28" s="574" t="s">
        <v>234</v>
      </c>
      <c r="BA28" s="2"/>
      <c r="BB28" s="214">
        <v>41091</v>
      </c>
      <c r="BC28" s="101"/>
      <c r="BD28" s="101"/>
      <c r="BE28" s="214">
        <v>41134</v>
      </c>
      <c r="BF28" s="101"/>
      <c r="BG28" s="579"/>
      <c r="BH28" s="211"/>
      <c r="BI28" s="104"/>
      <c r="BJ28" s="104"/>
      <c r="BK28" s="319">
        <v>41319</v>
      </c>
      <c r="BL28" s="319">
        <f t="shared" ref="BL28:BL38" si="123">DATE(YEAR(BK28),MONTH(BK28)+24,DAY(BK28))</f>
        <v>42049</v>
      </c>
      <c r="BM28" s="319">
        <f t="shared" ref="BM28:BM38" si="124">DATE(YEAR(BK28),MONTH(BK28)+36,DAY(BK28))</f>
        <v>42414</v>
      </c>
      <c r="BN28" s="319" t="str">
        <f t="shared" ref="BN28:BN38" si="125">IF(CX28&gt;BL28,"oui","non")</f>
        <v>oui</v>
      </c>
      <c r="BO28" s="104"/>
      <c r="BP28" s="579"/>
      <c r="BQ28" s="104"/>
      <c r="BR28" s="116"/>
      <c r="BS28" s="116"/>
      <c r="BT28" s="116"/>
      <c r="BU28" s="165" t="s">
        <v>145</v>
      </c>
      <c r="BV28" s="330">
        <v>41261</v>
      </c>
      <c r="BW28" s="266"/>
      <c r="BX28" s="166">
        <v>9654414.4900000002</v>
      </c>
      <c r="BY28" s="172">
        <f t="shared" ref="BY28:BY35" si="126">DATE(YEAR(BV28),MONTH(BV28)+18,DAY(BV28))</f>
        <v>41808</v>
      </c>
      <c r="BZ28" s="266"/>
      <c r="CA28" s="441">
        <v>41785</v>
      </c>
      <c r="CB28" s="266">
        <v>41927</v>
      </c>
      <c r="CC28" s="780">
        <f>(CX28-CB28)/30</f>
        <v>31.733333333333334</v>
      </c>
      <c r="CD28" s="252"/>
      <c r="CE28" s="448">
        <v>41320</v>
      </c>
      <c r="CF28" s="442">
        <v>2013</v>
      </c>
      <c r="CG28" s="601">
        <f t="shared" ref="CG28:CG48" si="127">(DATEDIF(BB28,CE28,"d"))/30</f>
        <v>7.6333333333333337</v>
      </c>
      <c r="CH28" s="121">
        <v>21</v>
      </c>
      <c r="CI28" s="254">
        <f>CH28+1</f>
        <v>22</v>
      </c>
      <c r="CJ28" s="121">
        <f t="shared" ref="CJ28:CJ48" si="128">DATEDIF(CE28,CR28,"M")</f>
        <v>51</v>
      </c>
      <c r="CK28" s="254">
        <f t="shared" ref="CK28:CK48" si="129">DATEDIF(CE28,CX28,"M")</f>
        <v>51</v>
      </c>
      <c r="CL28" s="121">
        <f t="shared" ref="CL28:CL48" si="130">DATEDIF(CQ28,CR28,"M")</f>
        <v>30</v>
      </c>
      <c r="CM28" s="254">
        <f t="shared" ref="CM28:CM48" si="131">CK28-CI28</f>
        <v>29</v>
      </c>
      <c r="CN28" s="254">
        <f>329858.71178776/12</f>
        <v>27488.225982313335</v>
      </c>
      <c r="CO28" s="257">
        <f t="shared" ref="CO28:CO48" si="132">CN28*(CJ28-CH28)</f>
        <v>824646.77946940006</v>
      </c>
      <c r="CP28" s="248">
        <v>42535</v>
      </c>
      <c r="CQ28" s="751">
        <f t="shared" ref="CQ28:CQ48" si="133">DATE(YEAR(CE28),MONTH(CE28)+CH28,DAY(CE28))</f>
        <v>41958</v>
      </c>
      <c r="CR28" s="449">
        <v>42875</v>
      </c>
      <c r="CS28" s="751">
        <f t="shared" ref="CS28:CS44" si="134">DATE(YEAR(CA28)+2,MONTH(CA28),DAY(CA28))</f>
        <v>42516</v>
      </c>
      <c r="CT28" s="248">
        <v>42879</v>
      </c>
      <c r="CU28" s="879">
        <f t="shared" ref="CU28:CU48" si="135">(DATEDIF(BB28,CT28,"d"))/30/12</f>
        <v>4.9666666666666668</v>
      </c>
      <c r="CV28" s="248" t="s">
        <v>129</v>
      </c>
      <c r="CW28" s="620">
        <v>42864</v>
      </c>
      <c r="CX28" s="450">
        <v>42879</v>
      </c>
      <c r="CY28" s="802">
        <v>2017</v>
      </c>
      <c r="CZ28" s="312" t="s">
        <v>129</v>
      </c>
      <c r="DA28" s="125"/>
      <c r="DB28" s="249" t="s">
        <v>129</v>
      </c>
      <c r="DC28" s="125"/>
      <c r="DD28" s="125"/>
      <c r="DE28" s="125"/>
      <c r="DF28" s="509" t="s">
        <v>329</v>
      </c>
      <c r="DG28" s="296">
        <f>DATE(YEAR(CR28)+1,MONTH(CR28),DAY(CR28))</f>
        <v>43240</v>
      </c>
      <c r="DH28" s="204" t="s">
        <v>129</v>
      </c>
      <c r="DI28" s="204">
        <v>42907</v>
      </c>
      <c r="DJ28" s="125"/>
      <c r="DK28" s="125"/>
      <c r="DL28" s="125"/>
      <c r="DM28" s="191" t="s">
        <v>688</v>
      </c>
      <c r="DN28" s="193" t="s">
        <v>931</v>
      </c>
      <c r="DO28" s="56"/>
      <c r="DP28" s="58" t="s">
        <v>933</v>
      </c>
      <c r="DQ28" s="119" t="s">
        <v>129</v>
      </c>
      <c r="DR28" s="125"/>
      <c r="DS28" s="125"/>
      <c r="DT28" s="126"/>
      <c r="DU28" s="119"/>
      <c r="DV28" s="119"/>
      <c r="DW28" s="691" t="str">
        <f t="shared" ref="DW28:DW48" si="136">IF(AND(DU28&gt;0,DV28&gt;0),DV28-DU28,"0")</f>
        <v>0</v>
      </c>
      <c r="DX28" s="126"/>
      <c r="DY28" s="126"/>
      <c r="DZ28" s="691" t="str">
        <f t="shared" ref="DZ28:DZ48" si="137">IF(AND(DX28&gt;0,DY28&gt;0),DY28-DX28,"0")</f>
        <v>0</v>
      </c>
      <c r="EA28" s="133"/>
      <c r="EB28" s="126"/>
      <c r="EC28" s="691" t="str">
        <f t="shared" ref="EC28:EC48" si="138">IF(AND(EA28&gt;0,EB28&gt;0),EB28-EA28,"0")</f>
        <v>0</v>
      </c>
      <c r="ED28" s="133"/>
      <c r="EE28" s="126"/>
      <c r="EF28" s="691" t="str">
        <f t="shared" ref="EF28:EF48" si="139">IF(AND(ED28&gt;0,EE28&gt;0),EE28-ED28,"0")</f>
        <v>0</v>
      </c>
      <c r="EG28" s="133"/>
      <c r="EH28" s="745"/>
      <c r="EI28" s="691" t="str">
        <f t="shared" ref="EI28:EI48" si="140">IF(AND(EG28&gt;0,EH28&gt;0),EH28-EG28,"0")</f>
        <v>0</v>
      </c>
      <c r="EJ28" s="243"/>
      <c r="EK28" s="701"/>
      <c r="EL28" s="696"/>
      <c r="EM28" s="697" t="str">
        <f t="shared" ref="EM28:EM48" si="141">IF(AND(EK28&gt;0,EL28&gt;0),EL28-EK28,"0")</f>
        <v>0</v>
      </c>
      <c r="EN28" s="701"/>
      <c r="EO28" s="696"/>
      <c r="EP28" s="697" t="str">
        <f t="shared" ref="EP28:EP48" si="142">IF(AND(EN28&gt;0,EO28&gt;0),EO28-EN28,"0")</f>
        <v>0</v>
      </c>
      <c r="EQ28" s="701"/>
      <c r="ER28" s="696"/>
      <c r="ES28" s="697" t="str">
        <f t="shared" ref="ES28:ES48" si="143">IF(AND(EQ28&gt;0,ER28&gt;0),ER28-EQ28,"0")</f>
        <v>0</v>
      </c>
      <c r="ET28" s="704"/>
      <c r="EU28" s="722"/>
      <c r="EV28" s="698" t="str">
        <f t="shared" ref="EV28:EV48" si="144">IF(AND(ET28&gt;0,EU28&gt;0),EU28-ET28,"0")</f>
        <v>0</v>
      </c>
      <c r="EW28" s="699"/>
      <c r="EX28" s="700"/>
      <c r="EY28" s="697" t="str">
        <f t="shared" ref="EY28:EY48" si="145">IF(AND(EW28&gt;0,EX28&gt;0),EX28-EW28,"0")</f>
        <v>0</v>
      </c>
      <c r="EZ28" s="696"/>
      <c r="FA28" s="701"/>
      <c r="FB28" s="697" t="str">
        <f t="shared" ref="FB28:FB48" si="146">IF(AND(EZ28&gt;0,FA28&gt;0),FA28-EZ28,"0")</f>
        <v>0</v>
      </c>
      <c r="FC28" s="703"/>
      <c r="FD28" s="703"/>
      <c r="FE28" s="697" t="str">
        <f t="shared" ref="FE28:FE48" si="147">IF(AND(FC28&gt;0,FD28&gt;0),FD28-FC28,"0")</f>
        <v>0</v>
      </c>
      <c r="FF28" s="703"/>
      <c r="FG28" s="703"/>
      <c r="FH28" s="697" t="str">
        <f t="shared" ref="FH28:FH48" si="148">IF(AND(FF28&gt;0,FG28&gt;0),FG28-FF28,"0")</f>
        <v>0</v>
      </c>
      <c r="FI28" s="703"/>
      <c r="FJ28" s="703"/>
      <c r="FK28" s="697" t="str">
        <f t="shared" ref="FK28:FK48" si="149">IF(AND(FI28&gt;0,FJ28&gt;0),FJ28-FI28,"0")</f>
        <v>0</v>
      </c>
      <c r="FL28" s="703"/>
      <c r="FM28" s="703"/>
      <c r="FN28" s="703"/>
      <c r="FO28" s="703"/>
      <c r="FP28" s="701"/>
      <c r="FQ28" s="699">
        <f t="shared" ref="FQ28:FQ38" si="150">(DATEDIF(EO28,FO28,"d"))/30</f>
        <v>0</v>
      </c>
      <c r="FR28" s="703"/>
      <c r="FS28" s="701">
        <f>CX28</f>
        <v>42879</v>
      </c>
      <c r="FT28" s="723"/>
      <c r="FU28" s="723"/>
      <c r="FV28" s="727"/>
      <c r="FW28" s="727"/>
      <c r="FX28" s="728">
        <f t="shared" ref="FX28:FX48" si="151">(DW28+DZ28+EC28+EF28+EI28+EM28+EP28)/30</f>
        <v>0</v>
      </c>
      <c r="FY28" s="728">
        <f t="shared" ref="FY28:FY48" si="152">(FS28-FR28)/30</f>
        <v>1429.3</v>
      </c>
      <c r="FZ28" s="724"/>
      <c r="GA28" s="741" t="s">
        <v>870</v>
      </c>
      <c r="GB28" s="724"/>
      <c r="GC28" s="724"/>
      <c r="GD28" s="164"/>
      <c r="GE28" s="826">
        <v>9682468.3900000006</v>
      </c>
      <c r="GF28" s="11">
        <v>10302885.028743383</v>
      </c>
      <c r="GG28" s="584">
        <f>GQ28+GV28+HC28+HV28+HA28+HG28+HF28</f>
        <v>10359154.550000001</v>
      </c>
      <c r="GH28" s="13">
        <f t="shared" ref="GH28:GH44" si="153">GG28-GF28</f>
        <v>56269.521256618202</v>
      </c>
      <c r="GI28" s="52">
        <f t="shared" ref="GI28:GI48" si="154">GG28/AI28</f>
        <v>1950.2375022120814</v>
      </c>
      <c r="GJ28" s="52">
        <f t="shared" ref="GJ28:GJ48" si="155">GG28/AD28</f>
        <v>159371.60846153848</v>
      </c>
      <c r="GK28" s="11">
        <v>9295451</v>
      </c>
      <c r="GL28" s="12"/>
      <c r="GM28" s="13">
        <f t="shared" ref="GM28:GM48" si="156">GL28-GK28</f>
        <v>-9295451</v>
      </c>
      <c r="GN28" s="135">
        <f t="shared" ref="GN28:GN35" si="157">GK28*1.021/GF28</f>
        <v>0.92116484310196667</v>
      </c>
      <c r="GO28" s="136"/>
      <c r="GP28" s="11">
        <v>3195831</v>
      </c>
      <c r="GQ28" s="12">
        <v>3195831</v>
      </c>
      <c r="GR28" s="70"/>
      <c r="GS28" s="22">
        <f t="shared" ref="GS28:GS48" si="158">GQ28/AD28</f>
        <v>49166.630769230767</v>
      </c>
      <c r="GT28" s="38">
        <f t="shared" ref="GT28:GT38" si="159">GQ28-GP28</f>
        <v>0</v>
      </c>
      <c r="GU28" s="11">
        <v>6112292.5499999998</v>
      </c>
      <c r="GV28" s="12">
        <f t="shared" ref="GV28:GV35" si="160">+GW28+GX28</f>
        <v>6112292.5499999998</v>
      </c>
      <c r="GW28" s="14">
        <v>1264343</v>
      </c>
      <c r="GX28" s="14">
        <v>4847949.55</v>
      </c>
      <c r="GY28" s="38">
        <f t="shared" ref="GY28:GY44" si="161">GV28-GU28</f>
        <v>0</v>
      </c>
      <c r="GZ28" s="888">
        <f t="shared" ref="GZ28:GZ48" si="162">GV28/AD28</f>
        <v>94035.27</v>
      </c>
      <c r="HA28" s="12">
        <v>0</v>
      </c>
      <c r="HB28" s="11">
        <v>790394</v>
      </c>
      <c r="HC28" s="16">
        <v>790394</v>
      </c>
      <c r="HD28" s="69"/>
      <c r="HE28" s="41">
        <f t="shared" ref="HE28:HE48" si="163">HC28/GG28</f>
        <v>7.6299083693079944E-2</v>
      </c>
      <c r="HF28" s="95">
        <v>224526</v>
      </c>
      <c r="HG28" s="16">
        <v>0</v>
      </c>
      <c r="HH28" s="23">
        <f t="shared" ref="HH28:HH48" si="164">HC28-HB28</f>
        <v>0</v>
      </c>
      <c r="HI28" s="22">
        <f t="shared" ref="HI28:HI48" si="165">HC28/AD28</f>
        <v>12159.907692307692</v>
      </c>
      <c r="HJ28" s="52">
        <f t="shared" ref="HJ28:HJ48" si="166">(GQ28+HC28)/AD28</f>
        <v>61326.538461538461</v>
      </c>
      <c r="HK28" s="23">
        <f t="shared" ref="HK28:HK37" si="167">HH28/AD28</f>
        <v>0</v>
      </c>
      <c r="HL28" s="51"/>
      <c r="HM28" s="51"/>
      <c r="HN28" s="40">
        <v>1951680.4950927752</v>
      </c>
      <c r="HO28" s="40">
        <v>1300000</v>
      </c>
      <c r="HP28" s="22">
        <f t="shared" ref="HP28:HP37" si="168">(GQ28+HC28+HO28)/AD28</f>
        <v>81326.538461538468</v>
      </c>
      <c r="HQ28" s="40">
        <v>0</v>
      </c>
      <c r="HR28" s="22">
        <f t="shared" ref="HR28:HR37" si="169">(GQ28+HC28+HO28+HQ28)/AD28</f>
        <v>81326.538461538468</v>
      </c>
      <c r="HS28" s="53">
        <f t="shared" ref="HS28:HS38" si="170">(GQ28+HC28+HO28+HQ28)/(HN28+GG28-HT28)</f>
        <v>0.44977679130011533</v>
      </c>
      <c r="HT28" s="40">
        <v>557838.66500000004</v>
      </c>
      <c r="HU28" s="589"/>
      <c r="HV28" s="590">
        <v>36111</v>
      </c>
      <c r="HW28" s="42">
        <f t="shared" ref="HW28:HW48" si="171">GG28+HN28</f>
        <v>12310835.045092776</v>
      </c>
      <c r="HX28" s="243"/>
      <c r="HY28" s="243">
        <f t="shared" ref="HY28:HY37" si="172">IA28+IC28+IE28+IG28+II28+IK28+IM28+IO28+IQ28+IS28+IU28+IW28+IY28+JA28+JC28+JE28+JG28</f>
        <v>0</v>
      </c>
      <c r="HZ28" s="118"/>
      <c r="IA28" s="243"/>
      <c r="IB28" s="243"/>
      <c r="IC28" s="118"/>
      <c r="ID28" s="118"/>
      <c r="IE28" s="243"/>
      <c r="IF28" s="118"/>
      <c r="IG28" s="243"/>
      <c r="IH28" s="118"/>
      <c r="II28" s="243"/>
      <c r="IJ28" s="119"/>
      <c r="IK28" s="403"/>
      <c r="IL28" s="338"/>
      <c r="IM28" s="338"/>
      <c r="IN28" s="126"/>
      <c r="IO28" s="243"/>
      <c r="IP28" s="126"/>
      <c r="IQ28" s="243"/>
      <c r="IR28" s="119"/>
      <c r="IS28" s="119"/>
      <c r="IT28" s="119"/>
      <c r="IU28" s="119"/>
      <c r="IV28" s="286"/>
      <c r="IW28" s="286"/>
      <c r="IX28" s="286"/>
      <c r="IY28" s="286"/>
      <c r="IZ28" s="286"/>
      <c r="JA28" s="286"/>
      <c r="JB28" s="243"/>
      <c r="JC28" s="126"/>
      <c r="JD28" s="119"/>
      <c r="JE28" s="126"/>
      <c r="JF28" s="126"/>
      <c r="JG28" s="119"/>
    </row>
    <row r="29" spans="1:267" ht="82.5" customHeight="1">
      <c r="A29" s="914" t="s">
        <v>142</v>
      </c>
      <c r="B29" s="8" t="s">
        <v>41</v>
      </c>
      <c r="C29" s="8" t="s">
        <v>114</v>
      </c>
      <c r="D29" s="8">
        <v>2013</v>
      </c>
      <c r="E29" s="8" t="s">
        <v>42</v>
      </c>
      <c r="F29" s="8" t="s">
        <v>423</v>
      </c>
      <c r="G29" s="8" t="s">
        <v>185</v>
      </c>
      <c r="H29" s="8" t="s">
        <v>428</v>
      </c>
      <c r="I29" s="56"/>
      <c r="J29" s="56"/>
      <c r="K29" s="502" t="s">
        <v>752</v>
      </c>
      <c r="L29" s="171" t="s">
        <v>63</v>
      </c>
      <c r="M29" s="108" t="s">
        <v>144</v>
      </c>
      <c r="N29" s="109">
        <v>41619</v>
      </c>
      <c r="O29" s="217">
        <v>15520</v>
      </c>
      <c r="P29" s="217">
        <v>130195</v>
      </c>
      <c r="Q29" s="217">
        <v>184575</v>
      </c>
      <c r="R29" s="217">
        <f>P29/AD29</f>
        <v>5424.791666666667</v>
      </c>
      <c r="S29" s="217">
        <f>P29/O29</f>
        <v>8.3888530927835046</v>
      </c>
      <c r="T29" s="217">
        <f>Q29/O29</f>
        <v>11.892719072164949</v>
      </c>
      <c r="U29" s="217">
        <f>Q29/AJ29</f>
        <v>100.20684712857096</v>
      </c>
      <c r="V29" s="217">
        <f>Q29/AD29</f>
        <v>7690.625</v>
      </c>
      <c r="W29" s="217">
        <f>O29/AD29</f>
        <v>646.66666666666663</v>
      </c>
      <c r="X29" s="218"/>
      <c r="Y29" s="219">
        <f>AJ29/O29</f>
        <v>0.11868170103092784</v>
      </c>
      <c r="Z29" s="218" t="s">
        <v>215</v>
      </c>
      <c r="AA29" s="220">
        <v>790</v>
      </c>
      <c r="AB29" s="221"/>
      <c r="AC29" s="8" t="s">
        <v>16</v>
      </c>
      <c r="AD29" s="342">
        <f t="shared" si="120"/>
        <v>24</v>
      </c>
      <c r="AE29" s="9"/>
      <c r="AF29" s="8">
        <v>24</v>
      </c>
      <c r="AG29" s="56"/>
      <c r="AH29" s="56"/>
      <c r="AI29" s="10">
        <v>1833.06</v>
      </c>
      <c r="AJ29" s="85">
        <v>1841.94</v>
      </c>
      <c r="AK29" s="10">
        <f t="shared" si="121"/>
        <v>76.747500000000002</v>
      </c>
      <c r="AL29" s="62"/>
      <c r="AM29" s="62"/>
      <c r="AN29" s="62"/>
      <c r="AO29" s="62"/>
      <c r="AP29" s="62"/>
      <c r="AQ29" s="10"/>
      <c r="AR29" s="79">
        <v>700</v>
      </c>
      <c r="AS29" s="81">
        <f t="shared" si="122"/>
        <v>4.5103092783505154E-2</v>
      </c>
      <c r="AT29" s="60">
        <v>1.5</v>
      </c>
      <c r="AU29" s="57" t="s">
        <v>625</v>
      </c>
      <c r="AV29" s="19" t="s">
        <v>122</v>
      </c>
      <c r="AW29" s="56"/>
      <c r="AX29" s="194">
        <v>41346</v>
      </c>
      <c r="AY29" s="112" t="s">
        <v>12</v>
      </c>
      <c r="AZ29" s="112" t="s">
        <v>143</v>
      </c>
      <c r="BA29" s="577">
        <v>120000</v>
      </c>
      <c r="BB29" s="214">
        <v>41536</v>
      </c>
      <c r="BC29" s="101"/>
      <c r="BD29" s="101">
        <v>41564</v>
      </c>
      <c r="BE29" s="214">
        <v>41568</v>
      </c>
      <c r="BF29" s="101"/>
      <c r="BG29" s="169">
        <v>41550</v>
      </c>
      <c r="BH29" s="212">
        <v>41583</v>
      </c>
      <c r="BI29" s="170">
        <f>DATE(YEAR(BH29),MONTH(BH29)+3,DAY(BH29))</f>
        <v>41675</v>
      </c>
      <c r="BJ29" s="170"/>
      <c r="BK29" s="320">
        <v>41659</v>
      </c>
      <c r="BL29" s="319">
        <f t="shared" si="123"/>
        <v>42389</v>
      </c>
      <c r="BM29" s="319">
        <f t="shared" si="124"/>
        <v>42755</v>
      </c>
      <c r="BN29" s="319" t="str">
        <f t="shared" si="125"/>
        <v>oui</v>
      </c>
      <c r="BO29" s="170"/>
      <c r="BP29" s="169">
        <v>41659</v>
      </c>
      <c r="BQ29" s="102"/>
      <c r="BR29" s="103"/>
      <c r="BS29" s="106"/>
      <c r="BT29" s="106"/>
      <c r="BU29" s="165" t="s">
        <v>145</v>
      </c>
      <c r="BV29" s="330">
        <v>41626</v>
      </c>
      <c r="BW29" s="266"/>
      <c r="BX29" s="166">
        <f>3488955.15568/1.021</f>
        <v>3417194.08</v>
      </c>
      <c r="BY29" s="172">
        <f t="shared" si="126"/>
        <v>42173</v>
      </c>
      <c r="BZ29" s="266"/>
      <c r="CA29" s="441">
        <v>42114</v>
      </c>
      <c r="CB29" s="266">
        <v>42292</v>
      </c>
      <c r="CC29" s="780">
        <f>(CX29-CB29)/30</f>
        <v>16.066666666666666</v>
      </c>
      <c r="CD29" s="617"/>
      <c r="CE29" s="448">
        <v>41876</v>
      </c>
      <c r="CF29" s="442">
        <v>2014</v>
      </c>
      <c r="CG29" s="601">
        <f t="shared" si="127"/>
        <v>11.333333333333334</v>
      </c>
      <c r="CH29" s="121">
        <v>14</v>
      </c>
      <c r="CI29" s="254">
        <f>CH29+1</f>
        <v>15</v>
      </c>
      <c r="CJ29" s="254">
        <f t="shared" si="128"/>
        <v>27</v>
      </c>
      <c r="CK29" s="254">
        <f t="shared" si="129"/>
        <v>29</v>
      </c>
      <c r="CL29" s="254">
        <f t="shared" si="130"/>
        <v>13</v>
      </c>
      <c r="CM29" s="254">
        <f t="shared" si="131"/>
        <v>14</v>
      </c>
      <c r="CN29" s="257">
        <f>115866.7697376/12</f>
        <v>9655.5641448000006</v>
      </c>
      <c r="CO29" s="257">
        <f t="shared" si="132"/>
        <v>125522.33388240001</v>
      </c>
      <c r="CP29" s="248" t="s">
        <v>129</v>
      </c>
      <c r="CQ29" s="751">
        <f t="shared" si="133"/>
        <v>42302</v>
      </c>
      <c r="CR29" s="450">
        <v>42704</v>
      </c>
      <c r="CS29" s="859">
        <f t="shared" si="134"/>
        <v>42845</v>
      </c>
      <c r="CT29" s="120">
        <v>42774</v>
      </c>
      <c r="CU29" s="871">
        <f t="shared" si="135"/>
        <v>3.4388888888888887</v>
      </c>
      <c r="CV29" s="120" t="s">
        <v>129</v>
      </c>
      <c r="CW29" s="801" t="s">
        <v>129</v>
      </c>
      <c r="CX29" s="453">
        <v>42774</v>
      </c>
      <c r="CY29" s="621">
        <v>2017</v>
      </c>
      <c r="CZ29" s="134"/>
      <c r="DA29" s="124" t="s">
        <v>582</v>
      </c>
      <c r="DB29" s="249" t="s">
        <v>129</v>
      </c>
      <c r="DC29" s="122" t="s">
        <v>583</v>
      </c>
      <c r="DD29" s="122" t="s">
        <v>584</v>
      </c>
      <c r="DE29" s="124"/>
      <c r="DF29" s="249" t="s">
        <v>129</v>
      </c>
      <c r="DG29" s="278">
        <v>43069</v>
      </c>
      <c r="DH29" s="204" t="s">
        <v>129</v>
      </c>
      <c r="DI29" s="204">
        <v>42907</v>
      </c>
      <c r="DJ29" s="56"/>
      <c r="DK29" s="56"/>
      <c r="DL29" s="56"/>
      <c r="DM29" s="56"/>
      <c r="DN29" s="56"/>
      <c r="DO29" s="56" t="s">
        <v>470</v>
      </c>
      <c r="DP29" s="596">
        <v>43003</v>
      </c>
      <c r="DQ29" s="119" t="s">
        <v>129</v>
      </c>
      <c r="DR29" s="56"/>
      <c r="DS29" s="56"/>
      <c r="DT29" s="126"/>
      <c r="DU29" s="119"/>
      <c r="DV29" s="119"/>
      <c r="DW29" s="691" t="str">
        <f t="shared" si="136"/>
        <v>0</v>
      </c>
      <c r="DX29" s="126"/>
      <c r="DY29" s="126"/>
      <c r="DZ29" s="691" t="str">
        <f t="shared" si="137"/>
        <v>0</v>
      </c>
      <c r="EA29" s="133"/>
      <c r="EB29" s="126"/>
      <c r="EC29" s="691" t="str">
        <f t="shared" si="138"/>
        <v>0</v>
      </c>
      <c r="ED29" s="133"/>
      <c r="EE29" s="126"/>
      <c r="EF29" s="691" t="str">
        <f t="shared" si="139"/>
        <v>0</v>
      </c>
      <c r="EG29" s="133"/>
      <c r="EH29" s="745"/>
      <c r="EI29" s="691" t="str">
        <f t="shared" si="140"/>
        <v>0</v>
      </c>
      <c r="EJ29" s="243"/>
      <c r="EK29" s="126"/>
      <c r="EL29" s="243"/>
      <c r="EM29" s="691" t="str">
        <f t="shared" si="141"/>
        <v>0</v>
      </c>
      <c r="EN29" s="126"/>
      <c r="EO29" s="243"/>
      <c r="EP29" s="691" t="str">
        <f t="shared" si="142"/>
        <v>0</v>
      </c>
      <c r="EQ29" s="126"/>
      <c r="ER29" s="243"/>
      <c r="ES29" s="691" t="str">
        <f t="shared" si="143"/>
        <v>0</v>
      </c>
      <c r="ET29" s="747"/>
      <c r="EU29" s="743"/>
      <c r="EV29" s="694" t="str">
        <f t="shared" si="144"/>
        <v>0</v>
      </c>
      <c r="EW29" s="133"/>
      <c r="EX29" s="748"/>
      <c r="EY29" s="691" t="str">
        <f t="shared" si="145"/>
        <v>0</v>
      </c>
      <c r="EZ29" s="243"/>
      <c r="FA29" s="126"/>
      <c r="FB29" s="691" t="str">
        <f t="shared" si="146"/>
        <v>0</v>
      </c>
      <c r="FC29" s="119"/>
      <c r="FD29" s="119"/>
      <c r="FE29" s="691" t="str">
        <f t="shared" si="147"/>
        <v>0</v>
      </c>
      <c r="FF29" s="119"/>
      <c r="FG29" s="119"/>
      <c r="FH29" s="691" t="str">
        <f t="shared" si="148"/>
        <v>0</v>
      </c>
      <c r="FI29" s="119"/>
      <c r="FJ29" s="119"/>
      <c r="FK29" s="691" t="str">
        <f t="shared" si="149"/>
        <v>0</v>
      </c>
      <c r="FL29" s="119"/>
      <c r="FM29" s="119"/>
      <c r="FN29" s="119"/>
      <c r="FO29" s="703"/>
      <c r="FP29" s="701"/>
      <c r="FQ29" s="699">
        <f t="shared" si="150"/>
        <v>0</v>
      </c>
      <c r="FR29" s="703"/>
      <c r="FS29" s="703"/>
      <c r="FT29" s="723"/>
      <c r="FU29" s="723"/>
      <c r="FV29" s="727"/>
      <c r="FW29" s="727"/>
      <c r="FX29" s="728">
        <f t="shared" si="151"/>
        <v>0</v>
      </c>
      <c r="FY29" s="728">
        <f t="shared" si="152"/>
        <v>0</v>
      </c>
      <c r="FZ29" s="724"/>
      <c r="GA29" s="741" t="s">
        <v>873</v>
      </c>
      <c r="GB29" s="724"/>
      <c r="GC29" s="724"/>
      <c r="GD29" s="113" t="s">
        <v>121</v>
      </c>
      <c r="GE29" s="822">
        <v>3574384</v>
      </c>
      <c r="GF29" s="11">
        <f t="shared" ref="GF29:GF35" si="173">+GP29+GU29+HB29+HV29</f>
        <v>3574385</v>
      </c>
      <c r="GG29" s="12">
        <f>GQ29+GV29+HC29+HV29+HA29+HG29+HF29+HD29</f>
        <v>3927084</v>
      </c>
      <c r="GH29" s="13">
        <f t="shared" si="153"/>
        <v>352699</v>
      </c>
      <c r="GI29" s="52">
        <f t="shared" si="154"/>
        <v>2142.365225360872</v>
      </c>
      <c r="GJ29" s="52">
        <f t="shared" si="155"/>
        <v>163628.5</v>
      </c>
      <c r="GK29" s="11">
        <v>3273574</v>
      </c>
      <c r="GL29" s="12">
        <v>3268014</v>
      </c>
      <c r="GM29" s="13">
        <f t="shared" si="156"/>
        <v>-5560</v>
      </c>
      <c r="GN29" s="135">
        <f t="shared" si="157"/>
        <v>0.93507527980337868</v>
      </c>
      <c r="GO29" s="136"/>
      <c r="GP29" s="11">
        <v>1046714</v>
      </c>
      <c r="GQ29" s="12">
        <v>1042673</v>
      </c>
      <c r="GR29" s="70"/>
      <c r="GS29" s="22">
        <f t="shared" si="158"/>
        <v>43444.708333333336</v>
      </c>
      <c r="GT29" s="38">
        <f t="shared" si="159"/>
        <v>-4041</v>
      </c>
      <c r="GU29" s="11">
        <v>2047671</v>
      </c>
      <c r="GV29" s="12">
        <f t="shared" si="160"/>
        <v>2051712</v>
      </c>
      <c r="GW29" s="14">
        <v>255345</v>
      </c>
      <c r="GX29" s="14">
        <v>1796367</v>
      </c>
      <c r="GY29" s="38">
        <f t="shared" si="161"/>
        <v>4041</v>
      </c>
      <c r="GZ29" s="888">
        <f t="shared" si="162"/>
        <v>85488</v>
      </c>
      <c r="HA29" s="12"/>
      <c r="HB29" s="11">
        <v>480000</v>
      </c>
      <c r="HC29" s="12">
        <v>360000</v>
      </c>
      <c r="HD29" s="70">
        <v>120000</v>
      </c>
      <c r="HE29" s="41">
        <f t="shared" si="163"/>
        <v>9.1671071970958598E-2</v>
      </c>
      <c r="HF29" s="95">
        <v>327805</v>
      </c>
      <c r="HG29" s="12">
        <v>24894</v>
      </c>
      <c r="HH29" s="23">
        <f t="shared" si="164"/>
        <v>-120000</v>
      </c>
      <c r="HI29" s="22">
        <f t="shared" si="165"/>
        <v>15000</v>
      </c>
      <c r="HJ29" s="52">
        <f t="shared" si="166"/>
        <v>58444.708333333336</v>
      </c>
      <c r="HK29" s="23">
        <f t="shared" si="167"/>
        <v>-5000</v>
      </c>
      <c r="HL29" s="51"/>
      <c r="HM29" s="51"/>
      <c r="HN29" s="40">
        <v>1244630.4489499999</v>
      </c>
      <c r="HO29" s="40">
        <v>480000</v>
      </c>
      <c r="HP29" s="22">
        <f t="shared" si="168"/>
        <v>78444.708333333328</v>
      </c>
      <c r="HQ29" s="40">
        <v>0</v>
      </c>
      <c r="HR29" s="22">
        <f t="shared" si="169"/>
        <v>78444.708333333328</v>
      </c>
      <c r="HS29" s="53">
        <f t="shared" si="170"/>
        <v>0.37779921684285633</v>
      </c>
      <c r="HT29" s="40">
        <v>188451.07500000001</v>
      </c>
      <c r="HU29" s="40"/>
      <c r="HV29" s="591">
        <v>0</v>
      </c>
      <c r="HW29" s="42">
        <f t="shared" si="171"/>
        <v>5171714.4489500001</v>
      </c>
      <c r="HX29" s="243">
        <v>172483</v>
      </c>
      <c r="HY29" s="243">
        <f t="shared" si="172"/>
        <v>86240</v>
      </c>
      <c r="HZ29" s="118">
        <v>41246</v>
      </c>
      <c r="IA29" s="243">
        <v>16144</v>
      </c>
      <c r="IB29" s="243"/>
      <c r="IC29" s="118"/>
      <c r="ID29" s="118">
        <v>41291</v>
      </c>
      <c r="IE29" s="243"/>
      <c r="IF29" s="118">
        <v>41275</v>
      </c>
      <c r="IG29" s="243">
        <v>24216</v>
      </c>
      <c r="IH29" s="118">
        <v>41484</v>
      </c>
      <c r="II29" s="243">
        <v>20008</v>
      </c>
      <c r="IJ29" s="119">
        <v>41583</v>
      </c>
      <c r="IK29" s="403">
        <v>25872</v>
      </c>
      <c r="IL29" s="338"/>
      <c r="IM29" s="338"/>
      <c r="IN29" s="126"/>
      <c r="IO29" s="243"/>
      <c r="IP29" s="126"/>
      <c r="IQ29" s="243"/>
      <c r="IR29" s="119"/>
      <c r="IS29" s="119"/>
      <c r="IT29" s="119"/>
      <c r="IU29" s="119"/>
      <c r="IV29" s="286"/>
      <c r="IW29" s="286"/>
      <c r="IX29" s="286"/>
      <c r="IY29" s="286"/>
      <c r="IZ29" s="286"/>
      <c r="JA29" s="286"/>
      <c r="JB29" s="243">
        <v>24216</v>
      </c>
      <c r="JC29" s="126"/>
      <c r="JD29" s="119"/>
      <c r="JE29" s="126"/>
      <c r="JF29" s="126"/>
      <c r="JG29" s="119"/>
    </row>
    <row r="30" spans="1:267" ht="24.95" customHeight="1">
      <c r="A30" s="914" t="s">
        <v>54</v>
      </c>
      <c r="B30" s="8" t="s">
        <v>28</v>
      </c>
      <c r="C30" s="8" t="s">
        <v>113</v>
      </c>
      <c r="D30" s="8">
        <v>2013</v>
      </c>
      <c r="E30" s="8" t="s">
        <v>55</v>
      </c>
      <c r="F30" s="8" t="s">
        <v>30</v>
      </c>
      <c r="G30" s="8" t="s">
        <v>725</v>
      </c>
      <c r="H30" s="8" t="s">
        <v>260</v>
      </c>
      <c r="I30" s="56"/>
      <c r="J30" s="56"/>
      <c r="K30" s="272"/>
      <c r="L30" s="171" t="s">
        <v>69</v>
      </c>
      <c r="M30" s="108" t="s">
        <v>70</v>
      </c>
      <c r="N30" s="109"/>
      <c r="O30" s="217">
        <f>4015+535</f>
        <v>4550</v>
      </c>
      <c r="P30" s="217">
        <v>298500</v>
      </c>
      <c r="Q30" s="217">
        <v>122015</v>
      </c>
      <c r="R30" s="217">
        <f>P30/15</f>
        <v>19900</v>
      </c>
      <c r="S30" s="217">
        <f>P30/O30</f>
        <v>65.604395604395606</v>
      </c>
      <c r="T30" s="223">
        <f>Q30/O30</f>
        <v>26.816483516483515</v>
      </c>
      <c r="U30" s="223">
        <f>Q30/AJ30</f>
        <v>103.92126802429075</v>
      </c>
      <c r="V30" s="223">
        <f>Q30/AD30</f>
        <v>8134.333333333333</v>
      </c>
      <c r="W30" s="217">
        <f>O30/AD30</f>
        <v>303.33333333333331</v>
      </c>
      <c r="X30" s="218"/>
      <c r="Y30" s="219">
        <f>AJ30/O30</f>
        <v>0.25804615384615381</v>
      </c>
      <c r="Z30" s="218" t="s">
        <v>197</v>
      </c>
      <c r="AA30" s="220">
        <v>600</v>
      </c>
      <c r="AB30" s="221"/>
      <c r="AC30" s="8" t="s">
        <v>16</v>
      </c>
      <c r="AD30" s="342">
        <f t="shared" si="120"/>
        <v>15</v>
      </c>
      <c r="AE30" s="9"/>
      <c r="AF30" s="8">
        <v>15</v>
      </c>
      <c r="AG30" s="56"/>
      <c r="AH30" s="56"/>
      <c r="AI30" s="10">
        <v>1160.5899999999999</v>
      </c>
      <c r="AJ30" s="85">
        <v>1174.1099999999999</v>
      </c>
      <c r="AK30" s="10">
        <f t="shared" si="121"/>
        <v>78.273999999999987</v>
      </c>
      <c r="AL30" s="62"/>
      <c r="AM30" s="62"/>
      <c r="AN30" s="62"/>
      <c r="AO30" s="62"/>
      <c r="AP30" s="62"/>
      <c r="AQ30" s="10"/>
      <c r="AR30" s="79"/>
      <c r="AS30" s="81">
        <f t="shared" si="122"/>
        <v>0</v>
      </c>
      <c r="AT30" s="60">
        <v>1.5</v>
      </c>
      <c r="AU30" s="56" t="s">
        <v>625</v>
      </c>
      <c r="AV30" s="8"/>
      <c r="AW30" s="56"/>
      <c r="AX30" s="194">
        <v>40963</v>
      </c>
      <c r="AY30" s="112" t="s">
        <v>11</v>
      </c>
      <c r="AZ30" s="112" t="s">
        <v>146</v>
      </c>
      <c r="BA30" s="576"/>
      <c r="BB30" s="214">
        <v>41596</v>
      </c>
      <c r="BC30" s="202"/>
      <c r="BD30" s="202" t="s">
        <v>332</v>
      </c>
      <c r="BE30" s="215" t="s">
        <v>336</v>
      </c>
      <c r="BF30" s="202">
        <v>42291</v>
      </c>
      <c r="BG30" s="169">
        <v>41550</v>
      </c>
      <c r="BH30" s="212" t="s">
        <v>129</v>
      </c>
      <c r="BI30" s="170">
        <f>DATE(YEAR(BG30),MONTH(BG30)+3,DAY(BG30))</f>
        <v>41642</v>
      </c>
      <c r="BJ30" s="170" t="s">
        <v>129</v>
      </c>
      <c r="BK30" s="320">
        <v>41818</v>
      </c>
      <c r="BL30" s="319">
        <f t="shared" si="123"/>
        <v>42549</v>
      </c>
      <c r="BM30" s="319">
        <f t="shared" si="124"/>
        <v>42914</v>
      </c>
      <c r="BN30" s="319" t="str">
        <f t="shared" si="125"/>
        <v>oui</v>
      </c>
      <c r="BO30" s="170"/>
      <c r="BP30" s="578" t="s">
        <v>330</v>
      </c>
      <c r="BQ30" s="106"/>
      <c r="BR30" s="106"/>
      <c r="BS30" s="106"/>
      <c r="BT30" s="106"/>
      <c r="BU30" s="165" t="s">
        <v>72</v>
      </c>
      <c r="BV30" s="330">
        <v>42340</v>
      </c>
      <c r="BW30" s="266"/>
      <c r="BX30" s="166">
        <v>2671324.61</v>
      </c>
      <c r="BY30" s="172">
        <f t="shared" si="126"/>
        <v>42888</v>
      </c>
      <c r="BZ30" s="266"/>
      <c r="CA30" s="441">
        <v>42535</v>
      </c>
      <c r="CB30" s="266">
        <v>43071</v>
      </c>
      <c r="CC30" s="780">
        <f>(CX30-CB30)/30</f>
        <v>-8.5666666666666664</v>
      </c>
      <c r="CD30" s="617"/>
      <c r="CE30" s="448">
        <v>42341</v>
      </c>
      <c r="CF30" s="443">
        <v>2015</v>
      </c>
      <c r="CG30" s="603">
        <f t="shared" si="127"/>
        <v>24.833333333333332</v>
      </c>
      <c r="CH30" s="258">
        <v>13</v>
      </c>
      <c r="CI30" s="258">
        <f>CH30</f>
        <v>13</v>
      </c>
      <c r="CJ30" s="254">
        <f t="shared" si="128"/>
        <v>15</v>
      </c>
      <c r="CK30" s="254">
        <f t="shared" si="129"/>
        <v>15</v>
      </c>
      <c r="CL30" s="254">
        <f t="shared" si="130"/>
        <v>2</v>
      </c>
      <c r="CM30" s="254">
        <f t="shared" si="131"/>
        <v>2</v>
      </c>
      <c r="CN30" s="257">
        <f>56856.5334543356/12</f>
        <v>4738.044454527967</v>
      </c>
      <c r="CO30" s="257">
        <f t="shared" si="132"/>
        <v>9476.088909055934</v>
      </c>
      <c r="CP30" s="312" t="s">
        <v>476</v>
      </c>
      <c r="CQ30" s="795">
        <f t="shared" si="133"/>
        <v>42738</v>
      </c>
      <c r="CR30" s="771">
        <v>42814</v>
      </c>
      <c r="CS30" s="795">
        <f t="shared" si="134"/>
        <v>43265</v>
      </c>
      <c r="CT30" s="312">
        <v>42865</v>
      </c>
      <c r="CU30" s="905">
        <f t="shared" si="135"/>
        <v>3.5249999999999999</v>
      </c>
      <c r="CV30" s="312">
        <v>42865</v>
      </c>
      <c r="CW30" s="795">
        <v>42804</v>
      </c>
      <c r="CX30" s="804">
        <v>42814</v>
      </c>
      <c r="CY30" s="621">
        <v>2017</v>
      </c>
      <c r="CZ30" s="312" t="s">
        <v>129</v>
      </c>
      <c r="DA30" s="204" t="s">
        <v>129</v>
      </c>
      <c r="DB30" s="249" t="s">
        <v>129</v>
      </c>
      <c r="DC30" s="125"/>
      <c r="DD30" s="125"/>
      <c r="DE30" s="125"/>
      <c r="DF30" s="56"/>
      <c r="DG30" s="296">
        <f t="shared" ref="DG30:DG48" si="174">DATE(YEAR(CR30)+1,MONTH(CR30),DAY(CR30))</f>
        <v>43179</v>
      </c>
      <c r="DH30" s="341">
        <v>42977</v>
      </c>
      <c r="DI30" s="119"/>
      <c r="DJ30" s="119"/>
      <c r="DK30" s="341">
        <v>43125</v>
      </c>
      <c r="DL30" s="56"/>
      <c r="DM30" s="194">
        <v>42998</v>
      </c>
      <c r="DN30" s="56"/>
      <c r="DO30" s="56" t="s">
        <v>470</v>
      </c>
      <c r="DP30" s="560" t="s">
        <v>129</v>
      </c>
      <c r="DQ30" s="58"/>
      <c r="DR30" s="56"/>
      <c r="DS30" s="56"/>
      <c r="DT30" s="126"/>
      <c r="DU30" s="126"/>
      <c r="DV30" s="126"/>
      <c r="DW30" s="691" t="str">
        <f t="shared" si="136"/>
        <v>0</v>
      </c>
      <c r="DX30" s="126"/>
      <c r="DY30" s="126"/>
      <c r="DZ30" s="691" t="str">
        <f t="shared" si="137"/>
        <v>0</v>
      </c>
      <c r="EA30" s="126"/>
      <c r="EB30" s="126"/>
      <c r="EC30" s="691" t="str">
        <f t="shared" si="138"/>
        <v>0</v>
      </c>
      <c r="ED30" s="126"/>
      <c r="EE30" s="126"/>
      <c r="EF30" s="691" t="str">
        <f t="shared" si="139"/>
        <v>0</v>
      </c>
      <c r="EG30" s="133"/>
      <c r="EH30" s="745"/>
      <c r="EI30" s="691" t="str">
        <f t="shared" si="140"/>
        <v>0</v>
      </c>
      <c r="EJ30" s="243"/>
      <c r="EK30" s="126"/>
      <c r="EL30" s="243"/>
      <c r="EM30" s="691" t="str">
        <f t="shared" si="141"/>
        <v>0</v>
      </c>
      <c r="EN30" s="126"/>
      <c r="EO30" s="243"/>
      <c r="EP30" s="691" t="str">
        <f t="shared" si="142"/>
        <v>0</v>
      </c>
      <c r="EQ30" s="126"/>
      <c r="ER30" s="243"/>
      <c r="ES30" s="691" t="str">
        <f t="shared" si="143"/>
        <v>0</v>
      </c>
      <c r="ET30" s="747"/>
      <c r="EU30" s="743"/>
      <c r="EV30" s="694" t="str">
        <f t="shared" si="144"/>
        <v>0</v>
      </c>
      <c r="EW30" s="133"/>
      <c r="EX30" s="748"/>
      <c r="EY30" s="691" t="str">
        <f t="shared" si="145"/>
        <v>0</v>
      </c>
      <c r="EZ30" s="243"/>
      <c r="FA30" s="126"/>
      <c r="FB30" s="691" t="str">
        <f t="shared" si="146"/>
        <v>0</v>
      </c>
      <c r="FC30" s="119"/>
      <c r="FD30" s="119"/>
      <c r="FE30" s="691" t="str">
        <f t="shared" si="147"/>
        <v>0</v>
      </c>
      <c r="FF30" s="119"/>
      <c r="FG30" s="119"/>
      <c r="FH30" s="691" t="str">
        <f t="shared" si="148"/>
        <v>0</v>
      </c>
      <c r="FI30" s="126"/>
      <c r="FJ30" s="126"/>
      <c r="FK30" s="691" t="str">
        <f t="shared" si="149"/>
        <v>0</v>
      </c>
      <c r="FL30" s="119"/>
      <c r="FM30" s="119"/>
      <c r="FN30" s="119"/>
      <c r="FO30" s="703"/>
      <c r="FP30" s="701"/>
      <c r="FQ30" s="699">
        <f t="shared" si="150"/>
        <v>0</v>
      </c>
      <c r="FR30" s="703"/>
      <c r="FS30" s="703"/>
      <c r="FT30" s="723"/>
      <c r="FU30" s="723"/>
      <c r="FV30" s="727"/>
      <c r="FW30" s="727"/>
      <c r="FX30" s="728">
        <f t="shared" si="151"/>
        <v>0</v>
      </c>
      <c r="FY30" s="728">
        <f t="shared" si="152"/>
        <v>0</v>
      </c>
      <c r="FZ30" s="724"/>
      <c r="GA30" s="741" t="s">
        <v>876</v>
      </c>
      <c r="GB30" s="724"/>
      <c r="GC30" s="724"/>
      <c r="GD30" s="113"/>
      <c r="GE30" s="822">
        <v>2369120</v>
      </c>
      <c r="GF30" s="11">
        <f t="shared" si="173"/>
        <v>2369121</v>
      </c>
      <c r="GG30" s="12">
        <f t="shared" ref="GG30:GG36" si="175">GQ30+GV30+HC30+HV30+HA30+HG30+HF30</f>
        <v>2951882</v>
      </c>
      <c r="GH30" s="13">
        <f t="shared" si="153"/>
        <v>582761</v>
      </c>
      <c r="GI30" s="52">
        <f t="shared" si="154"/>
        <v>2543.4322198192299</v>
      </c>
      <c r="GJ30" s="52">
        <f t="shared" si="155"/>
        <v>196792.13333333333</v>
      </c>
      <c r="GK30" s="11">
        <v>2132208</v>
      </c>
      <c r="GL30" s="12">
        <v>2403709.4727445007</v>
      </c>
      <c r="GM30" s="13">
        <f t="shared" si="156"/>
        <v>271501.47274450073</v>
      </c>
      <c r="GN30" s="135">
        <f t="shared" si="157"/>
        <v>0.91889961213462701</v>
      </c>
      <c r="GO30" s="136"/>
      <c r="GP30" s="11">
        <v>646677</v>
      </c>
      <c r="GQ30" s="12">
        <v>835967</v>
      </c>
      <c r="GR30" s="70"/>
      <c r="GS30" s="22">
        <f t="shared" si="158"/>
        <v>55731.133333333331</v>
      </c>
      <c r="GT30" s="38">
        <f t="shared" si="159"/>
        <v>189290</v>
      </c>
      <c r="GU30" s="11">
        <v>1328613</v>
      </c>
      <c r="GV30" s="70">
        <f t="shared" si="160"/>
        <v>1314229</v>
      </c>
      <c r="GW30" s="14">
        <v>212380</v>
      </c>
      <c r="GX30" s="14">
        <v>1101849</v>
      </c>
      <c r="GY30" s="38">
        <f t="shared" si="161"/>
        <v>-14384</v>
      </c>
      <c r="GZ30" s="888">
        <f t="shared" si="162"/>
        <v>87615.266666666663</v>
      </c>
      <c r="HA30" s="12"/>
      <c r="HB30" s="11">
        <v>393831</v>
      </c>
      <c r="HC30" s="12">
        <v>393831</v>
      </c>
      <c r="HD30" s="70"/>
      <c r="HE30" s="41">
        <f t="shared" si="163"/>
        <v>0.1334169184269561</v>
      </c>
      <c r="HF30" s="95">
        <v>407855</v>
      </c>
      <c r="HG30" s="12">
        <v>0</v>
      </c>
      <c r="HH30" s="23">
        <f t="shared" si="164"/>
        <v>0</v>
      </c>
      <c r="HI30" s="22">
        <f t="shared" si="165"/>
        <v>26255.4</v>
      </c>
      <c r="HJ30" s="52">
        <f t="shared" si="166"/>
        <v>81986.53333333334</v>
      </c>
      <c r="HK30" s="23">
        <f t="shared" si="167"/>
        <v>0</v>
      </c>
      <c r="HL30" s="51"/>
      <c r="HM30" s="51"/>
      <c r="HN30" s="40">
        <v>753806.75427749997</v>
      </c>
      <c r="HO30" s="40">
        <v>300000</v>
      </c>
      <c r="HP30" s="22">
        <f t="shared" si="168"/>
        <v>101986.53333333334</v>
      </c>
      <c r="HQ30" s="40">
        <v>162750</v>
      </c>
      <c r="HR30" s="22">
        <f t="shared" si="169"/>
        <v>112836.53333333334</v>
      </c>
      <c r="HS30" s="53">
        <f t="shared" si="170"/>
        <v>0.4726319970267101</v>
      </c>
      <c r="HT30" s="40">
        <v>124577</v>
      </c>
      <c r="HU30" s="589"/>
      <c r="HV30" s="590">
        <v>0</v>
      </c>
      <c r="HW30" s="98">
        <f t="shared" si="171"/>
        <v>3705688.7542774999</v>
      </c>
      <c r="HX30" s="293">
        <v>144741</v>
      </c>
      <c r="HY30" s="293">
        <f t="shared" si="172"/>
        <v>57156</v>
      </c>
      <c r="HZ30" s="118">
        <v>40814</v>
      </c>
      <c r="IA30" s="243">
        <v>10799</v>
      </c>
      <c r="IB30" s="243"/>
      <c r="IC30" s="118"/>
      <c r="ID30" s="118"/>
      <c r="IE30" s="243"/>
      <c r="IF30" s="118"/>
      <c r="IG30" s="243"/>
      <c r="IH30" s="118">
        <v>41050</v>
      </c>
      <c r="II30" s="243">
        <v>29206</v>
      </c>
      <c r="IJ30" s="119">
        <v>41627</v>
      </c>
      <c r="IK30" s="403">
        <v>17151</v>
      </c>
      <c r="IL30" s="338"/>
      <c r="IM30" s="338"/>
      <c r="IN30" s="126"/>
      <c r="IO30" s="243"/>
      <c r="IP30" s="126"/>
      <c r="IQ30" s="243"/>
      <c r="IR30" s="119"/>
      <c r="IS30" s="119"/>
      <c r="IT30" s="119"/>
      <c r="IU30" s="119"/>
      <c r="IV30" s="286"/>
      <c r="IW30" s="286"/>
      <c r="IX30" s="286"/>
      <c r="IY30" s="286"/>
      <c r="IZ30" s="286"/>
      <c r="JA30" s="286"/>
      <c r="JB30" s="243"/>
      <c r="JC30" s="126"/>
      <c r="JD30" s="119"/>
      <c r="JE30" s="126"/>
      <c r="JF30" s="126"/>
      <c r="JG30" s="119"/>
    </row>
    <row r="31" spans="1:267" ht="24.95" customHeight="1">
      <c r="A31" s="24" t="s">
        <v>356</v>
      </c>
      <c r="B31" s="8" t="s">
        <v>48</v>
      </c>
      <c r="C31" s="8" t="s">
        <v>114</v>
      </c>
      <c r="D31" s="8">
        <v>2013</v>
      </c>
      <c r="E31" s="8" t="s">
        <v>49</v>
      </c>
      <c r="F31" s="8" t="s">
        <v>334</v>
      </c>
      <c r="G31" s="8" t="s">
        <v>183</v>
      </c>
      <c r="H31" s="8" t="s">
        <v>176</v>
      </c>
      <c r="I31" s="56"/>
      <c r="J31" s="56"/>
      <c r="K31" s="272"/>
      <c r="L31" s="171" t="s">
        <v>64</v>
      </c>
      <c r="M31" s="108"/>
      <c r="N31" s="109"/>
      <c r="O31" s="68"/>
      <c r="P31" s="68"/>
      <c r="Q31" s="68"/>
      <c r="R31" s="68"/>
      <c r="S31" s="68"/>
      <c r="T31" s="68"/>
      <c r="U31" s="68"/>
      <c r="V31" s="68"/>
      <c r="W31" s="68"/>
      <c r="X31" s="67"/>
      <c r="Y31" s="67"/>
      <c r="Z31" s="67"/>
      <c r="AA31" s="9"/>
      <c r="AB31" s="209"/>
      <c r="AC31" s="8" t="s">
        <v>16</v>
      </c>
      <c r="AD31" s="342">
        <f t="shared" si="120"/>
        <v>83</v>
      </c>
      <c r="AE31" s="9"/>
      <c r="AF31" s="8">
        <v>83</v>
      </c>
      <c r="AG31" s="56"/>
      <c r="AH31" s="56"/>
      <c r="AI31" s="10">
        <v>7367.96</v>
      </c>
      <c r="AJ31" s="85">
        <v>7367.66</v>
      </c>
      <c r="AK31" s="10">
        <f t="shared" si="121"/>
        <v>88.766987951807224</v>
      </c>
      <c r="AL31" s="81">
        <v>0</v>
      </c>
      <c r="AM31" s="81">
        <f>10/AF31</f>
        <v>0.12048192771084337</v>
      </c>
      <c r="AN31" s="81">
        <f>42/AF31</f>
        <v>0.50602409638554213</v>
      </c>
      <c r="AO31" s="81">
        <f>28/AF31</f>
        <v>0.33734939759036142</v>
      </c>
      <c r="AP31" s="81">
        <f>3/AF31</f>
        <v>3.614457831325301E-2</v>
      </c>
      <c r="AQ31" s="10"/>
      <c r="AR31" s="79"/>
      <c r="AS31" s="81" t="e">
        <f t="shared" si="122"/>
        <v>#DIV/0!</v>
      </c>
      <c r="AT31" s="60">
        <v>3.5</v>
      </c>
      <c r="AU31" s="59" t="s">
        <v>626</v>
      </c>
      <c r="AV31" s="8" t="s">
        <v>121</v>
      </c>
      <c r="AW31" s="194">
        <v>41170</v>
      </c>
      <c r="AX31" s="194">
        <v>41348</v>
      </c>
      <c r="AY31" s="112" t="s">
        <v>11</v>
      </c>
      <c r="AZ31" s="112" t="s">
        <v>250</v>
      </c>
      <c r="BA31" s="577">
        <v>415000</v>
      </c>
      <c r="BB31" s="214">
        <v>41463</v>
      </c>
      <c r="BC31" s="101"/>
      <c r="BD31" s="101">
        <v>41747</v>
      </c>
      <c r="BE31" s="214">
        <v>42160</v>
      </c>
      <c r="BF31" s="101"/>
      <c r="BG31" s="169">
        <v>42163</v>
      </c>
      <c r="BH31" s="212">
        <v>42171</v>
      </c>
      <c r="BI31" s="170">
        <v>42263</v>
      </c>
      <c r="BJ31" s="170">
        <v>42192</v>
      </c>
      <c r="BK31" s="320">
        <v>42255</v>
      </c>
      <c r="BL31" s="319">
        <f t="shared" si="123"/>
        <v>42986</v>
      </c>
      <c r="BM31" s="319">
        <f t="shared" si="124"/>
        <v>43351</v>
      </c>
      <c r="BN31" s="319" t="str">
        <f t="shared" si="125"/>
        <v>oui</v>
      </c>
      <c r="BO31" s="170" t="s">
        <v>129</v>
      </c>
      <c r="BP31" s="169" t="s">
        <v>384</v>
      </c>
      <c r="BQ31" s="102" t="s">
        <v>172</v>
      </c>
      <c r="BR31" s="103" t="s">
        <v>172</v>
      </c>
      <c r="BS31" s="106">
        <v>42398</v>
      </c>
      <c r="BT31" s="103" t="s">
        <v>172</v>
      </c>
      <c r="BU31" s="165"/>
      <c r="BV31" s="330">
        <v>42360</v>
      </c>
      <c r="BW31" s="266"/>
      <c r="BX31" s="166">
        <v>18979814</v>
      </c>
      <c r="BY31" s="172">
        <f t="shared" si="126"/>
        <v>42908</v>
      </c>
      <c r="BZ31" s="266">
        <f>DATE(YEAR(BV31),MONTH(BV31)+24,DAY(BV31))</f>
        <v>43091</v>
      </c>
      <c r="CA31" s="441"/>
      <c r="CB31" s="517"/>
      <c r="CC31" s="781"/>
      <c r="CD31" s="617"/>
      <c r="CE31" s="448">
        <v>42139</v>
      </c>
      <c r="CF31" s="444">
        <v>2015</v>
      </c>
      <c r="CG31" s="602">
        <f t="shared" si="127"/>
        <v>22.533333333333335</v>
      </c>
      <c r="CH31" s="259">
        <v>24</v>
      </c>
      <c r="CI31" s="259">
        <f t="shared" ref="CI31:CI48" si="176">CH31+1</f>
        <v>25</v>
      </c>
      <c r="CJ31" s="255">
        <f t="shared" si="128"/>
        <v>29</v>
      </c>
      <c r="CK31" s="255">
        <f t="shared" si="129"/>
        <v>30</v>
      </c>
      <c r="CL31" s="255">
        <f t="shared" si="130"/>
        <v>5</v>
      </c>
      <c r="CM31" s="255">
        <f t="shared" si="131"/>
        <v>5</v>
      </c>
      <c r="CN31" s="245">
        <f>457276.500186631/12</f>
        <v>38106.375015552585</v>
      </c>
      <c r="CO31" s="245">
        <f t="shared" si="132"/>
        <v>190531.87507776293</v>
      </c>
      <c r="CP31" s="248">
        <v>42712</v>
      </c>
      <c r="CQ31" s="751">
        <f t="shared" si="133"/>
        <v>42870</v>
      </c>
      <c r="CR31" s="513">
        <v>43038</v>
      </c>
      <c r="CS31" s="830">
        <f t="shared" si="134"/>
        <v>731</v>
      </c>
      <c r="CT31" s="340">
        <v>43075</v>
      </c>
      <c r="CU31" s="906">
        <f t="shared" si="135"/>
        <v>4.4777777777777779</v>
      </c>
      <c r="CV31" s="248"/>
      <c r="CW31" s="795">
        <v>43066</v>
      </c>
      <c r="CX31" s="804">
        <v>43068</v>
      </c>
      <c r="CY31" s="621">
        <v>2017</v>
      </c>
      <c r="CZ31" s="340">
        <v>42978</v>
      </c>
      <c r="DA31" s="125"/>
      <c r="DB31" s="125" t="s">
        <v>774</v>
      </c>
      <c r="DC31" s="125"/>
      <c r="DD31" s="125"/>
      <c r="DE31" s="125"/>
      <c r="DF31" s="56"/>
      <c r="DG31" s="296">
        <f t="shared" si="174"/>
        <v>43403</v>
      </c>
      <c r="DH31" s="125"/>
      <c r="DI31" s="125"/>
      <c r="DJ31" s="125"/>
      <c r="DK31" s="125"/>
      <c r="DL31" s="56"/>
      <c r="DM31" s="56"/>
      <c r="DN31" s="56"/>
      <c r="DO31" s="194"/>
      <c r="DP31" s="58" t="s">
        <v>934</v>
      </c>
      <c r="DQ31" s="56"/>
      <c r="DR31" s="56"/>
      <c r="DS31" s="56"/>
      <c r="DT31" s="126"/>
      <c r="DU31" s="119"/>
      <c r="DV31" s="119"/>
      <c r="DW31" s="691" t="str">
        <f t="shared" si="136"/>
        <v>0</v>
      </c>
      <c r="DX31" s="126"/>
      <c r="DY31" s="126"/>
      <c r="DZ31" s="691" t="str">
        <f t="shared" si="137"/>
        <v>0</v>
      </c>
      <c r="EA31" s="133"/>
      <c r="EB31" s="126"/>
      <c r="EC31" s="691" t="str">
        <f t="shared" si="138"/>
        <v>0</v>
      </c>
      <c r="ED31" s="133"/>
      <c r="EE31" s="126"/>
      <c r="EF31" s="691" t="str">
        <f t="shared" si="139"/>
        <v>0</v>
      </c>
      <c r="EG31" s="133"/>
      <c r="EH31" s="745"/>
      <c r="EI31" s="691" t="str">
        <f t="shared" si="140"/>
        <v>0</v>
      </c>
      <c r="EJ31" s="243"/>
      <c r="EK31" s="126"/>
      <c r="EL31" s="243"/>
      <c r="EM31" s="691" t="str">
        <f t="shared" si="141"/>
        <v>0</v>
      </c>
      <c r="EN31" s="126"/>
      <c r="EO31" s="243"/>
      <c r="EP31" s="691" t="str">
        <f t="shared" si="142"/>
        <v>0</v>
      </c>
      <c r="EQ31" s="126"/>
      <c r="ER31" s="243"/>
      <c r="ES31" s="691" t="str">
        <f t="shared" si="143"/>
        <v>0</v>
      </c>
      <c r="ET31" s="747"/>
      <c r="EU31" s="743"/>
      <c r="EV31" s="694" t="str">
        <f t="shared" si="144"/>
        <v>0</v>
      </c>
      <c r="EW31" s="133"/>
      <c r="EX31" s="748"/>
      <c r="EY31" s="691" t="str">
        <f t="shared" si="145"/>
        <v>0</v>
      </c>
      <c r="EZ31" s="243"/>
      <c r="FA31" s="126"/>
      <c r="FB31" s="691" t="str">
        <f t="shared" si="146"/>
        <v>0</v>
      </c>
      <c r="FC31" s="119"/>
      <c r="FD31" s="119"/>
      <c r="FE31" s="691" t="str">
        <f t="shared" si="147"/>
        <v>0</v>
      </c>
      <c r="FF31" s="119"/>
      <c r="FG31" s="119"/>
      <c r="FH31" s="691" t="str">
        <f t="shared" si="148"/>
        <v>0</v>
      </c>
      <c r="FI31" s="119"/>
      <c r="FJ31" s="119"/>
      <c r="FK31" s="691" t="str">
        <f t="shared" si="149"/>
        <v>0</v>
      </c>
      <c r="FL31" s="119"/>
      <c r="FM31" s="119"/>
      <c r="FN31" s="119"/>
      <c r="FO31" s="703"/>
      <c r="FP31" s="701"/>
      <c r="FQ31" s="699">
        <f t="shared" si="150"/>
        <v>0</v>
      </c>
      <c r="FR31" s="703"/>
      <c r="FS31" s="701">
        <f>CX31</f>
        <v>43068</v>
      </c>
      <c r="FT31" s="723"/>
      <c r="FU31" s="723"/>
      <c r="FV31" s="727"/>
      <c r="FW31" s="727"/>
      <c r="FX31" s="728">
        <f t="shared" si="151"/>
        <v>0</v>
      </c>
      <c r="FY31" s="728">
        <f t="shared" si="152"/>
        <v>1435.6</v>
      </c>
      <c r="FZ31" s="724"/>
      <c r="GA31" s="741"/>
      <c r="GB31" s="724"/>
      <c r="GC31" s="724"/>
      <c r="GD31" s="113" t="s">
        <v>121</v>
      </c>
      <c r="GE31" s="822">
        <v>14323815</v>
      </c>
      <c r="GF31" s="11">
        <f t="shared" si="173"/>
        <v>14323814</v>
      </c>
      <c r="GG31" s="12">
        <f t="shared" si="175"/>
        <v>13949754</v>
      </c>
      <c r="GH31" s="13">
        <f t="shared" si="153"/>
        <v>-374060</v>
      </c>
      <c r="GI31" s="52">
        <f t="shared" si="154"/>
        <v>1893.2993664460719</v>
      </c>
      <c r="GJ31" s="52">
        <f t="shared" si="155"/>
        <v>168069.32530120481</v>
      </c>
      <c r="GK31" s="11">
        <v>13043765</v>
      </c>
      <c r="GL31" s="12">
        <v>12989943</v>
      </c>
      <c r="GM31" s="13">
        <f t="shared" si="156"/>
        <v>-53822</v>
      </c>
      <c r="GN31" s="135">
        <f t="shared" si="157"/>
        <v>0.92975823792461976</v>
      </c>
      <c r="GO31" s="136"/>
      <c r="GP31" s="11">
        <v>4234760</v>
      </c>
      <c r="GQ31" s="12">
        <v>4422509</v>
      </c>
      <c r="GR31" s="70"/>
      <c r="GS31" s="22">
        <f t="shared" si="158"/>
        <v>53283.240963855424</v>
      </c>
      <c r="GT31" s="38">
        <f t="shared" si="159"/>
        <v>187749</v>
      </c>
      <c r="GU31" s="11">
        <v>8429054</v>
      </c>
      <c r="GV31" s="12">
        <f t="shared" si="160"/>
        <v>8282245</v>
      </c>
      <c r="GW31" s="14">
        <v>1278025</v>
      </c>
      <c r="GX31" s="14">
        <v>7004220</v>
      </c>
      <c r="GY31" s="38">
        <f t="shared" si="161"/>
        <v>-146809</v>
      </c>
      <c r="GZ31" s="888">
        <f t="shared" si="162"/>
        <v>99786.084337349399</v>
      </c>
      <c r="HA31" s="12"/>
      <c r="HB31" s="11">
        <v>1660000</v>
      </c>
      <c r="HC31" s="12">
        <v>1245000</v>
      </c>
      <c r="HD31" s="70">
        <v>415000</v>
      </c>
      <c r="HE31" s="41">
        <f t="shared" si="163"/>
        <v>8.9248885679274345E-2</v>
      </c>
      <c r="HF31" s="95"/>
      <c r="HG31" s="12">
        <v>0</v>
      </c>
      <c r="HH31" s="23">
        <f t="shared" si="164"/>
        <v>-415000</v>
      </c>
      <c r="HI31" s="22">
        <f t="shared" si="165"/>
        <v>15000</v>
      </c>
      <c r="HJ31" s="52">
        <f t="shared" si="166"/>
        <v>68283.240963855424</v>
      </c>
      <c r="HK31" s="23">
        <f t="shared" si="167"/>
        <v>-5000</v>
      </c>
      <c r="HL31" s="51"/>
      <c r="HM31" s="51"/>
      <c r="HN31" s="40">
        <v>2467086.73961312</v>
      </c>
      <c r="HO31" s="40">
        <v>1660000</v>
      </c>
      <c r="HP31" s="22">
        <f t="shared" si="168"/>
        <v>88283.240963855424</v>
      </c>
      <c r="HQ31" s="40">
        <v>0</v>
      </c>
      <c r="HR31" s="22">
        <f t="shared" si="169"/>
        <v>88283.240963855424</v>
      </c>
      <c r="HS31" s="53">
        <f t="shared" si="170"/>
        <v>0.4683099261285058</v>
      </c>
      <c r="HT31" s="40">
        <v>770132.02990000008</v>
      </c>
      <c r="HU31" s="40"/>
      <c r="HV31" s="12">
        <v>0</v>
      </c>
      <c r="HW31" s="42">
        <f t="shared" si="171"/>
        <v>16416840.73961312</v>
      </c>
      <c r="HX31" s="243">
        <v>965006</v>
      </c>
      <c r="HY31" s="243">
        <f t="shared" si="172"/>
        <v>0</v>
      </c>
      <c r="HZ31" s="118"/>
      <c r="IA31" s="243"/>
      <c r="IB31" s="243"/>
      <c r="IC31" s="118"/>
      <c r="ID31" s="118"/>
      <c r="IE31" s="243"/>
      <c r="IF31" s="118"/>
      <c r="IG31" s="243"/>
      <c r="IH31" s="118"/>
      <c r="II31" s="243"/>
      <c r="IJ31" s="119"/>
      <c r="IK31" s="403"/>
      <c r="IL31" s="338"/>
      <c r="IM31" s="338"/>
      <c r="IN31" s="126"/>
      <c r="IO31" s="243"/>
      <c r="IP31" s="126"/>
      <c r="IQ31" s="243"/>
      <c r="IR31" s="119"/>
      <c r="IS31" s="119"/>
      <c r="IT31" s="119"/>
      <c r="IU31" s="119"/>
      <c r="IV31" s="286"/>
      <c r="IW31" s="286"/>
      <c r="IX31" s="286"/>
      <c r="IY31" s="286"/>
      <c r="IZ31" s="286"/>
      <c r="JA31" s="286"/>
      <c r="JB31" s="243"/>
      <c r="JC31" s="126"/>
      <c r="JD31" s="119"/>
      <c r="JE31" s="126"/>
      <c r="JF31" s="126"/>
      <c r="JG31" s="119"/>
    </row>
    <row r="32" spans="1:267" ht="165" customHeight="1">
      <c r="A32" s="24" t="s">
        <v>357</v>
      </c>
      <c r="B32" s="8" t="s">
        <v>48</v>
      </c>
      <c r="C32" s="8" t="s">
        <v>114</v>
      </c>
      <c r="D32" s="8">
        <v>2013</v>
      </c>
      <c r="E32" s="8" t="s">
        <v>49</v>
      </c>
      <c r="F32" s="8" t="s">
        <v>334</v>
      </c>
      <c r="G32" s="8"/>
      <c r="H32" s="8"/>
      <c r="I32" s="56"/>
      <c r="J32" s="56"/>
      <c r="K32" s="272"/>
      <c r="L32" s="171" t="s">
        <v>64</v>
      </c>
      <c r="M32" s="108"/>
      <c r="N32" s="109"/>
      <c r="O32" s="217">
        <v>20161</v>
      </c>
      <c r="P32" s="217">
        <v>1550000</v>
      </c>
      <c r="Q32" s="217">
        <v>1105335</v>
      </c>
      <c r="R32" s="217">
        <f>P32/(110)</f>
        <v>14090.90909090909</v>
      </c>
      <c r="S32" s="217">
        <f t="shared" ref="S32:S48" si="177">P32/O32</f>
        <v>76.88110708794207</v>
      </c>
      <c r="T32" s="217">
        <f t="shared" ref="T32:T48" si="178">Q32/O32</f>
        <v>54.825405485838999</v>
      </c>
      <c r="U32" s="217">
        <f>Q32/(AJ32+AJ130)</f>
        <v>392.66733926833251</v>
      </c>
      <c r="V32" s="217">
        <f>Q32/(110)</f>
        <v>10048.5</v>
      </c>
      <c r="W32" s="217">
        <f>O32/(AD32+AD132)</f>
        <v>746.7037037037037</v>
      </c>
      <c r="X32" s="218"/>
      <c r="Y32" s="219">
        <f>(AJ32+AJ130)/O32</f>
        <v>0.13962303457169783</v>
      </c>
      <c r="Z32" s="218" t="s">
        <v>200</v>
      </c>
      <c r="AA32" s="220">
        <v>460</v>
      </c>
      <c r="AB32" s="221"/>
      <c r="AC32" s="8" t="s">
        <v>15</v>
      </c>
      <c r="AD32" s="342">
        <f t="shared" si="120"/>
        <v>27</v>
      </c>
      <c r="AE32" s="8">
        <v>27</v>
      </c>
      <c r="AF32" s="9"/>
      <c r="AG32" s="67"/>
      <c r="AH32" s="67"/>
      <c r="AI32" s="10">
        <v>2870.27</v>
      </c>
      <c r="AJ32" s="85">
        <v>2814.94</v>
      </c>
      <c r="AK32" s="10">
        <f t="shared" si="121"/>
        <v>104.25703703703704</v>
      </c>
      <c r="AL32" s="81">
        <v>0</v>
      </c>
      <c r="AM32" s="81">
        <v>0</v>
      </c>
      <c r="AN32" s="81">
        <v>0</v>
      </c>
      <c r="AO32" s="81">
        <f>19/AE32</f>
        <v>0.70370370370370372</v>
      </c>
      <c r="AP32" s="81">
        <f>8/AE32</f>
        <v>0.29629629629629628</v>
      </c>
      <c r="AQ32" s="10">
        <v>12480</v>
      </c>
      <c r="AR32" s="79"/>
      <c r="AS32" s="81">
        <f t="shared" si="122"/>
        <v>0</v>
      </c>
      <c r="AT32" s="60">
        <v>3.5</v>
      </c>
      <c r="AU32" s="59" t="s">
        <v>626</v>
      </c>
      <c r="AV32" s="8" t="s">
        <v>121</v>
      </c>
      <c r="AW32" s="194">
        <v>41170</v>
      </c>
      <c r="AX32" s="194">
        <v>41348</v>
      </c>
      <c r="AY32" s="112" t="s">
        <v>11</v>
      </c>
      <c r="AZ32" s="112" t="s">
        <v>250</v>
      </c>
      <c r="BA32" s="576"/>
      <c r="BB32" s="214">
        <v>41493</v>
      </c>
      <c r="BC32" s="101"/>
      <c r="BD32" s="101">
        <v>41747</v>
      </c>
      <c r="BE32" s="214">
        <v>42160</v>
      </c>
      <c r="BF32" s="101"/>
      <c r="BG32" s="169">
        <v>42163</v>
      </c>
      <c r="BH32" s="212">
        <v>42171</v>
      </c>
      <c r="BI32" s="170">
        <v>42263</v>
      </c>
      <c r="BJ32" s="170">
        <v>42192</v>
      </c>
      <c r="BK32" s="320">
        <v>42255</v>
      </c>
      <c r="BL32" s="319">
        <f t="shared" si="123"/>
        <v>42986</v>
      </c>
      <c r="BM32" s="319">
        <f t="shared" si="124"/>
        <v>43351</v>
      </c>
      <c r="BN32" s="319" t="str">
        <f t="shared" si="125"/>
        <v>oui</v>
      </c>
      <c r="BO32" s="170" t="s">
        <v>129</v>
      </c>
      <c r="BP32" s="169" t="s">
        <v>338</v>
      </c>
      <c r="BQ32" s="102" t="s">
        <v>172</v>
      </c>
      <c r="BR32" s="102"/>
      <c r="BS32" s="103" t="s">
        <v>172</v>
      </c>
      <c r="BT32" s="103" t="s">
        <v>172</v>
      </c>
      <c r="BU32" s="165" t="s">
        <v>150</v>
      </c>
      <c r="BV32" s="330">
        <v>42360</v>
      </c>
      <c r="BW32" s="266"/>
      <c r="BX32" s="166">
        <v>18979814</v>
      </c>
      <c r="BY32" s="172">
        <f t="shared" si="126"/>
        <v>42908</v>
      </c>
      <c r="BZ32" s="266">
        <f>DATE(YEAR(BV32),MONTH(BV32)+24,DAY(BV32))</f>
        <v>43091</v>
      </c>
      <c r="CA32" s="441">
        <v>42360</v>
      </c>
      <c r="CB32" s="266">
        <v>43081</v>
      </c>
      <c r="CC32" s="780">
        <f t="shared" ref="CC32:CC40" si="179">(CX32-CB32)/30</f>
        <v>-0.43333333333333335</v>
      </c>
      <c r="CD32" s="617"/>
      <c r="CE32" s="448">
        <v>42139</v>
      </c>
      <c r="CF32" s="444">
        <v>2015</v>
      </c>
      <c r="CG32" s="602">
        <f t="shared" si="127"/>
        <v>21.533333333333335</v>
      </c>
      <c r="CH32" s="254">
        <v>24</v>
      </c>
      <c r="CI32" s="254">
        <f t="shared" si="176"/>
        <v>25</v>
      </c>
      <c r="CJ32" s="255">
        <f t="shared" si="128"/>
        <v>29</v>
      </c>
      <c r="CK32" s="255">
        <f t="shared" si="129"/>
        <v>30</v>
      </c>
      <c r="CL32" s="255">
        <f t="shared" si="130"/>
        <v>5</v>
      </c>
      <c r="CM32" s="255">
        <f t="shared" si="131"/>
        <v>5</v>
      </c>
      <c r="CN32" s="245">
        <f>209989.369681134/12</f>
        <v>17499.114140094502</v>
      </c>
      <c r="CO32" s="245">
        <f t="shared" si="132"/>
        <v>87495.570700472512</v>
      </c>
      <c r="CP32" s="248">
        <v>42712</v>
      </c>
      <c r="CQ32" s="751">
        <f t="shared" si="133"/>
        <v>42870</v>
      </c>
      <c r="CR32" s="513">
        <v>43038</v>
      </c>
      <c r="CS32" s="830">
        <f t="shared" si="134"/>
        <v>43091</v>
      </c>
      <c r="CT32" s="340">
        <v>43075</v>
      </c>
      <c r="CU32" s="870">
        <f t="shared" si="135"/>
        <v>4.3944444444444448</v>
      </c>
      <c r="CV32" s="248"/>
      <c r="CW32" s="807">
        <v>43066</v>
      </c>
      <c r="CX32" s="804">
        <v>43068</v>
      </c>
      <c r="CY32" s="621">
        <v>2017</v>
      </c>
      <c r="CZ32" s="340">
        <v>42978</v>
      </c>
      <c r="DA32" s="125"/>
      <c r="DB32" s="125"/>
      <c r="DC32" s="125"/>
      <c r="DD32" s="125"/>
      <c r="DE32" s="125"/>
      <c r="DF32" s="56"/>
      <c r="DG32" s="296">
        <f t="shared" si="174"/>
        <v>43403</v>
      </c>
      <c r="DH32" s="125"/>
      <c r="DI32" s="125"/>
      <c r="DJ32" s="125"/>
      <c r="DK32" s="125"/>
      <c r="DL32" s="56"/>
      <c r="DM32" s="56"/>
      <c r="DN32" s="56"/>
      <c r="DO32" s="194"/>
      <c r="DP32" s="58" t="s">
        <v>934</v>
      </c>
      <c r="DQ32" s="56"/>
      <c r="DR32" s="56"/>
      <c r="DS32" s="56"/>
      <c r="DT32" s="126"/>
      <c r="DU32" s="119"/>
      <c r="DV32" s="119"/>
      <c r="DW32" s="691" t="str">
        <f t="shared" si="136"/>
        <v>0</v>
      </c>
      <c r="DX32" s="126"/>
      <c r="DY32" s="126"/>
      <c r="DZ32" s="691" t="str">
        <f t="shared" si="137"/>
        <v>0</v>
      </c>
      <c r="EA32" s="133"/>
      <c r="EB32" s="126"/>
      <c r="EC32" s="691" t="str">
        <f t="shared" si="138"/>
        <v>0</v>
      </c>
      <c r="ED32" s="133"/>
      <c r="EE32" s="126"/>
      <c r="EF32" s="691" t="str">
        <f t="shared" si="139"/>
        <v>0</v>
      </c>
      <c r="EG32" s="133"/>
      <c r="EH32" s="745"/>
      <c r="EI32" s="691" t="str">
        <f t="shared" si="140"/>
        <v>0</v>
      </c>
      <c r="EJ32" s="243"/>
      <c r="EK32" s="126"/>
      <c r="EL32" s="243"/>
      <c r="EM32" s="691" t="str">
        <f t="shared" si="141"/>
        <v>0</v>
      </c>
      <c r="EN32" s="126"/>
      <c r="EO32" s="243"/>
      <c r="EP32" s="691" t="str">
        <f t="shared" si="142"/>
        <v>0</v>
      </c>
      <c r="EQ32" s="126"/>
      <c r="ER32" s="243"/>
      <c r="ES32" s="691" t="str">
        <f t="shared" si="143"/>
        <v>0</v>
      </c>
      <c r="ET32" s="747"/>
      <c r="EU32" s="743"/>
      <c r="EV32" s="694" t="str">
        <f t="shared" si="144"/>
        <v>0</v>
      </c>
      <c r="EW32" s="133"/>
      <c r="EX32" s="748"/>
      <c r="EY32" s="691" t="str">
        <f t="shared" si="145"/>
        <v>0</v>
      </c>
      <c r="EZ32" s="243"/>
      <c r="FA32" s="126"/>
      <c r="FB32" s="691" t="str">
        <f t="shared" si="146"/>
        <v>0</v>
      </c>
      <c r="FC32" s="119"/>
      <c r="FD32" s="119"/>
      <c r="FE32" s="691" t="str">
        <f t="shared" si="147"/>
        <v>0</v>
      </c>
      <c r="FF32" s="119"/>
      <c r="FG32" s="119"/>
      <c r="FH32" s="691" t="str">
        <f t="shared" si="148"/>
        <v>0</v>
      </c>
      <c r="FI32" s="118"/>
      <c r="FJ32" s="119"/>
      <c r="FK32" s="691" t="str">
        <f t="shared" si="149"/>
        <v>0</v>
      </c>
      <c r="FL32" s="119"/>
      <c r="FM32" s="119"/>
      <c r="FN32" s="119"/>
      <c r="FO32" s="703"/>
      <c r="FP32" s="701"/>
      <c r="FQ32" s="699">
        <f t="shared" si="150"/>
        <v>0</v>
      </c>
      <c r="FR32" s="703"/>
      <c r="FS32" s="703"/>
      <c r="FT32" s="723"/>
      <c r="FU32" s="723"/>
      <c r="FV32" s="727"/>
      <c r="FW32" s="727"/>
      <c r="FX32" s="728">
        <f t="shared" si="151"/>
        <v>0</v>
      </c>
      <c r="FY32" s="728">
        <f t="shared" si="152"/>
        <v>0</v>
      </c>
      <c r="FZ32" s="724"/>
      <c r="GA32" s="741"/>
      <c r="GB32" s="724"/>
      <c r="GC32" s="724"/>
      <c r="GD32" s="113" t="s">
        <v>121</v>
      </c>
      <c r="GE32" s="822">
        <v>5545807</v>
      </c>
      <c r="GF32" s="11">
        <f t="shared" si="173"/>
        <v>5546805</v>
      </c>
      <c r="GG32" s="12">
        <f t="shared" si="175"/>
        <v>5488129.9500000002</v>
      </c>
      <c r="GH32" s="13">
        <f t="shared" si="153"/>
        <v>-58675.049999999814</v>
      </c>
      <c r="GI32" s="52">
        <f t="shared" si="154"/>
        <v>1912.0605204388437</v>
      </c>
      <c r="GJ32" s="52">
        <f t="shared" si="155"/>
        <v>203264.07222222222</v>
      </c>
      <c r="GK32" s="11">
        <v>5057320</v>
      </c>
      <c r="GL32" s="12">
        <v>4965430</v>
      </c>
      <c r="GM32" s="13">
        <f t="shared" si="156"/>
        <v>-91890</v>
      </c>
      <c r="GN32" s="135">
        <f t="shared" si="157"/>
        <v>0.93090053102641968</v>
      </c>
      <c r="GO32" s="136"/>
      <c r="GP32" s="11">
        <v>1882322</v>
      </c>
      <c r="GQ32" s="12">
        <v>1916369</v>
      </c>
      <c r="GR32" s="70"/>
      <c r="GS32" s="22">
        <f t="shared" si="158"/>
        <v>70976.629629629635</v>
      </c>
      <c r="GT32" s="38">
        <f t="shared" si="159"/>
        <v>34047</v>
      </c>
      <c r="GU32" s="11">
        <v>3664482</v>
      </c>
      <c r="GV32" s="12">
        <f t="shared" si="160"/>
        <v>3571759.95</v>
      </c>
      <c r="GW32" s="14">
        <v>595108</v>
      </c>
      <c r="GX32" s="14">
        <v>2976651.95</v>
      </c>
      <c r="GY32" s="38">
        <f t="shared" si="161"/>
        <v>-92722.049999999814</v>
      </c>
      <c r="GZ32" s="888">
        <f t="shared" si="162"/>
        <v>132287.40555555557</v>
      </c>
      <c r="HA32" s="12"/>
      <c r="HB32" s="11">
        <v>1</v>
      </c>
      <c r="HC32" s="12">
        <v>1</v>
      </c>
      <c r="HD32" s="70"/>
      <c r="HE32" s="41">
        <f t="shared" si="163"/>
        <v>1.8221142886749611E-7</v>
      </c>
      <c r="HF32" s="95"/>
      <c r="HG32" s="12">
        <v>0</v>
      </c>
      <c r="HH32" s="23">
        <f t="shared" si="164"/>
        <v>0</v>
      </c>
      <c r="HI32" s="22">
        <f t="shared" si="165"/>
        <v>3.7037037037037035E-2</v>
      </c>
      <c r="HJ32" s="52">
        <f t="shared" si="166"/>
        <v>70976.666666666672</v>
      </c>
      <c r="HK32" s="23">
        <f t="shared" si="167"/>
        <v>0</v>
      </c>
      <c r="HL32" s="51"/>
      <c r="HM32" s="51"/>
      <c r="HN32" s="40">
        <v>1015690.2065916295</v>
      </c>
      <c r="HO32" s="40">
        <v>540000</v>
      </c>
      <c r="HP32" s="22">
        <f t="shared" si="168"/>
        <v>90976.666666666672</v>
      </c>
      <c r="HQ32" s="40">
        <v>0</v>
      </c>
      <c r="HR32" s="22">
        <f t="shared" si="169"/>
        <v>90976.666666666672</v>
      </c>
      <c r="HS32" s="53">
        <f t="shared" si="170"/>
        <v>0.39970846321114534</v>
      </c>
      <c r="HT32" s="40">
        <v>358416.12820000004</v>
      </c>
      <c r="HU32" s="40"/>
      <c r="HV32" s="12">
        <v>0</v>
      </c>
      <c r="HW32" s="42">
        <f t="shared" si="171"/>
        <v>6503820.1565916296</v>
      </c>
      <c r="HX32" s="243">
        <v>965006</v>
      </c>
      <c r="HY32" s="243">
        <f t="shared" si="172"/>
        <v>482504</v>
      </c>
      <c r="HZ32" s="118">
        <v>41090</v>
      </c>
      <c r="IA32" s="243">
        <v>96501</v>
      </c>
      <c r="IB32" s="243"/>
      <c r="IC32" s="118"/>
      <c r="ID32" s="118">
        <v>41401</v>
      </c>
      <c r="IE32" s="243">
        <v>48250</v>
      </c>
      <c r="IF32" s="118">
        <v>41262</v>
      </c>
      <c r="IG32" s="243">
        <v>96501</v>
      </c>
      <c r="IH32" s="118">
        <v>41485</v>
      </c>
      <c r="II32" s="243">
        <v>96501</v>
      </c>
      <c r="IJ32" s="119">
        <v>41570</v>
      </c>
      <c r="IK32" s="403">
        <v>144751</v>
      </c>
      <c r="IL32" s="338"/>
      <c r="IM32" s="338"/>
      <c r="IN32" s="126"/>
      <c r="IO32" s="243"/>
      <c r="IP32" s="126"/>
      <c r="IQ32" s="243"/>
      <c r="IR32" s="119"/>
      <c r="IS32" s="119"/>
      <c r="IT32" s="119"/>
      <c r="IU32" s="119"/>
      <c r="IV32" s="286"/>
      <c r="IW32" s="286"/>
      <c r="IX32" s="250"/>
      <c r="IY32" s="309"/>
      <c r="IZ32" s="250"/>
      <c r="JA32" s="309"/>
      <c r="JB32" s="243">
        <v>96501</v>
      </c>
      <c r="JC32" s="126"/>
      <c r="JD32" s="119"/>
      <c r="JE32" s="126"/>
      <c r="JF32" s="126"/>
      <c r="JG32" s="119"/>
    </row>
    <row r="33" spans="1:267" ht="24.95" customHeight="1">
      <c r="A33" s="914" t="s">
        <v>45</v>
      </c>
      <c r="B33" s="8" t="s">
        <v>46</v>
      </c>
      <c r="C33" s="8" t="s">
        <v>113</v>
      </c>
      <c r="D33" s="8">
        <v>2013</v>
      </c>
      <c r="E33" s="8" t="s">
        <v>47</v>
      </c>
      <c r="F33" s="8" t="s">
        <v>419</v>
      </c>
      <c r="G33" s="8" t="s">
        <v>725</v>
      </c>
      <c r="H33" s="8" t="s">
        <v>176</v>
      </c>
      <c r="I33" s="81"/>
      <c r="J33" s="56"/>
      <c r="K33" s="272"/>
      <c r="L33" s="567" t="s">
        <v>63</v>
      </c>
      <c r="M33" s="567" t="s">
        <v>70</v>
      </c>
      <c r="N33" s="767">
        <v>41591</v>
      </c>
      <c r="O33" s="217">
        <v>1547</v>
      </c>
      <c r="P33" s="217">
        <f>Q33</f>
        <v>259906</v>
      </c>
      <c r="Q33" s="217">
        <v>259906</v>
      </c>
      <c r="R33" s="217">
        <f t="shared" ref="R33:R40" si="180">P33/AD33</f>
        <v>14439.222222222223</v>
      </c>
      <c r="S33" s="217">
        <f t="shared" si="177"/>
        <v>168.00646412411118</v>
      </c>
      <c r="T33" s="217">
        <f t="shared" si="178"/>
        <v>168.00646412411118</v>
      </c>
      <c r="U33" s="217">
        <f t="shared" ref="U33:U48" si="181">Q33/AJ33</f>
        <v>197.22270702594417</v>
      </c>
      <c r="V33" s="217">
        <f t="shared" ref="V33:V48" si="182">Q33/AD33</f>
        <v>14439.222222222223</v>
      </c>
      <c r="W33" s="217">
        <f t="shared" ref="W33:W48" si="183">O33/AD33</f>
        <v>85.944444444444443</v>
      </c>
      <c r="X33" s="218">
        <v>836</v>
      </c>
      <c r="Y33" s="219">
        <f t="shared" ref="Y33:Y48" si="184">AJ33/O33</f>
        <v>0.85186166774402061</v>
      </c>
      <c r="Z33" s="218" t="s">
        <v>198</v>
      </c>
      <c r="AA33" s="220">
        <v>383</v>
      </c>
      <c r="AB33" s="221">
        <v>0</v>
      </c>
      <c r="AC33" s="8" t="s">
        <v>16</v>
      </c>
      <c r="AD33" s="342">
        <f t="shared" si="120"/>
        <v>18</v>
      </c>
      <c r="AE33" s="9"/>
      <c r="AF33" s="8">
        <v>18</v>
      </c>
      <c r="AG33" s="56"/>
      <c r="AH33" s="56"/>
      <c r="AI33" s="10">
        <f>1340.98-1283.18*0</f>
        <v>1340.98</v>
      </c>
      <c r="AJ33" s="85">
        <v>1317.83</v>
      </c>
      <c r="AK33" s="10">
        <f t="shared" si="121"/>
        <v>73.212777777777774</v>
      </c>
      <c r="AL33" s="243"/>
      <c r="AM33" s="81">
        <f>12/AD33</f>
        <v>0.66666666666666663</v>
      </c>
      <c r="AN33" s="81">
        <f>6/AD33</f>
        <v>0.33333333333333331</v>
      </c>
      <c r="AO33" s="243"/>
      <c r="AP33" s="243"/>
      <c r="AQ33" s="10"/>
      <c r="AR33" s="79">
        <v>0</v>
      </c>
      <c r="AS33" s="81">
        <f t="shared" si="122"/>
        <v>0</v>
      </c>
      <c r="AT33" s="60">
        <v>3.5</v>
      </c>
      <c r="AU33" s="59" t="s">
        <v>626</v>
      </c>
      <c r="AV33" s="8" t="s">
        <v>121</v>
      </c>
      <c r="AW33" s="199">
        <v>41313</v>
      </c>
      <c r="AX33" s="194">
        <v>41348</v>
      </c>
      <c r="AY33" s="112" t="s">
        <v>11</v>
      </c>
      <c r="AZ33" s="112" t="s">
        <v>146</v>
      </c>
      <c r="BA33" s="576"/>
      <c r="BB33" s="214">
        <v>41463</v>
      </c>
      <c r="BC33" s="101"/>
      <c r="BD33" s="101">
        <v>41514</v>
      </c>
      <c r="BE33" s="214">
        <v>41515</v>
      </c>
      <c r="BF33" s="101"/>
      <c r="BG33" s="169">
        <v>41549</v>
      </c>
      <c r="BH33" s="212">
        <v>41576</v>
      </c>
      <c r="BI33" s="170">
        <f>DATE(YEAR(BH33),MONTH(BH33)+3,DAY(BH33))</f>
        <v>41668</v>
      </c>
      <c r="BJ33" s="170"/>
      <c r="BK33" s="320">
        <v>41659</v>
      </c>
      <c r="BL33" s="319">
        <f t="shared" si="123"/>
        <v>42389</v>
      </c>
      <c r="BM33" s="319">
        <f t="shared" si="124"/>
        <v>42755</v>
      </c>
      <c r="BN33" s="319" t="str">
        <f t="shared" si="125"/>
        <v>oui</v>
      </c>
      <c r="BO33" s="170"/>
      <c r="BP33" s="578" t="s">
        <v>182</v>
      </c>
      <c r="BQ33" s="102"/>
      <c r="BR33" s="103"/>
      <c r="BS33" s="106"/>
      <c r="BT33" s="106"/>
      <c r="BU33" s="172" t="s">
        <v>145</v>
      </c>
      <c r="BV33" s="330">
        <v>41625</v>
      </c>
      <c r="BW33" s="266"/>
      <c r="BX33" s="166">
        <v>2595669.38</v>
      </c>
      <c r="BY33" s="172">
        <f t="shared" si="126"/>
        <v>42172</v>
      </c>
      <c r="BZ33" s="266"/>
      <c r="CA33" s="441">
        <v>42153</v>
      </c>
      <c r="CB33" s="266">
        <v>42475</v>
      </c>
      <c r="CC33" s="780">
        <f t="shared" si="179"/>
        <v>19.8</v>
      </c>
      <c r="CD33" s="617"/>
      <c r="CE33" s="448">
        <v>41751</v>
      </c>
      <c r="CF33" s="442">
        <v>2014</v>
      </c>
      <c r="CG33" s="601">
        <f t="shared" si="127"/>
        <v>9.6</v>
      </c>
      <c r="CH33" s="121">
        <v>15</v>
      </c>
      <c r="CI33" s="121">
        <f t="shared" si="176"/>
        <v>16</v>
      </c>
      <c r="CJ33" s="121">
        <f t="shared" si="128"/>
        <v>42</v>
      </c>
      <c r="CK33" s="121">
        <f t="shared" si="129"/>
        <v>43</v>
      </c>
      <c r="CL33" s="121">
        <f t="shared" si="130"/>
        <v>27</v>
      </c>
      <c r="CM33" s="121">
        <f t="shared" si="131"/>
        <v>27</v>
      </c>
      <c r="CN33" s="244">
        <f>86289.3386701777/12</f>
        <v>7190.7782225148085</v>
      </c>
      <c r="CO33" s="244">
        <f t="shared" si="132"/>
        <v>194151.01200789982</v>
      </c>
      <c r="CP33" s="248">
        <v>42382</v>
      </c>
      <c r="CQ33" s="751">
        <f t="shared" si="133"/>
        <v>42207</v>
      </c>
      <c r="CR33" s="450">
        <v>43055</v>
      </c>
      <c r="CS33" s="874">
        <f t="shared" si="134"/>
        <v>42884</v>
      </c>
      <c r="CT33" s="120">
        <v>43082</v>
      </c>
      <c r="CU33" s="871">
        <f t="shared" si="135"/>
        <v>4.4972222222222227</v>
      </c>
      <c r="CV33" s="868">
        <v>43083</v>
      </c>
      <c r="CW33" s="801">
        <v>43059</v>
      </c>
      <c r="CX33" s="453">
        <v>43069</v>
      </c>
      <c r="CY33" s="444">
        <v>2017</v>
      </c>
      <c r="CZ33" s="340">
        <v>42999</v>
      </c>
      <c r="DA33" s="197" t="s">
        <v>582</v>
      </c>
      <c r="DB33" s="833">
        <v>43164</v>
      </c>
      <c r="DC33" s="197" t="s">
        <v>326</v>
      </c>
      <c r="DD33" s="197" t="s">
        <v>326</v>
      </c>
      <c r="DE33" s="197" t="s">
        <v>940</v>
      </c>
      <c r="DF33" s="81" t="s">
        <v>470</v>
      </c>
      <c r="DG33" s="296">
        <f t="shared" si="174"/>
        <v>43420</v>
      </c>
      <c r="DH33" s="833">
        <v>43151</v>
      </c>
      <c r="DI33" s="833">
        <v>43157</v>
      </c>
      <c r="DJ33" s="197"/>
      <c r="DK33" s="197"/>
      <c r="DL33" s="81"/>
      <c r="DM33" s="81"/>
      <c r="DN33" s="81"/>
      <c r="DO33" s="194"/>
      <c r="DP33" s="58" t="s">
        <v>934</v>
      </c>
      <c r="DQ33" s="81"/>
      <c r="DR33" s="81"/>
      <c r="DS33" s="81"/>
      <c r="DT33" s="126">
        <v>41184</v>
      </c>
      <c r="DU33" s="126">
        <f>DT33</f>
        <v>41184</v>
      </c>
      <c r="DV33" s="126">
        <v>41185</v>
      </c>
      <c r="DW33" s="691">
        <f t="shared" si="136"/>
        <v>1</v>
      </c>
      <c r="DX33" s="126">
        <f>DV33+21+21</f>
        <v>41227</v>
      </c>
      <c r="DY33" s="126">
        <v>41311</v>
      </c>
      <c r="DZ33" s="691">
        <f t="shared" si="137"/>
        <v>84</v>
      </c>
      <c r="EA33" s="126">
        <v>41373</v>
      </c>
      <c r="EB33" s="126">
        <v>41375</v>
      </c>
      <c r="EC33" s="691">
        <f t="shared" si="138"/>
        <v>2</v>
      </c>
      <c r="ED33" s="126">
        <f>EB33+30+30</f>
        <v>41435</v>
      </c>
      <c r="EE33" s="126">
        <v>41437</v>
      </c>
      <c r="EF33" s="691">
        <f t="shared" si="139"/>
        <v>2</v>
      </c>
      <c r="EG33" s="126">
        <f>EE33+37+37</f>
        <v>41511</v>
      </c>
      <c r="EH33" s="884">
        <v>41529</v>
      </c>
      <c r="EI33" s="691">
        <f t="shared" si="140"/>
        <v>18</v>
      </c>
      <c r="EJ33" s="126">
        <v>41684</v>
      </c>
      <c r="EK33" s="126">
        <f>EH33+7+7+30</f>
        <v>41573</v>
      </c>
      <c r="EL33" s="126">
        <v>41743</v>
      </c>
      <c r="EM33" s="691">
        <f t="shared" si="141"/>
        <v>170</v>
      </c>
      <c r="EN33" s="126">
        <v>41743</v>
      </c>
      <c r="EO33" s="126">
        <f>CE33</f>
        <v>41751</v>
      </c>
      <c r="EP33" s="691">
        <f t="shared" si="142"/>
        <v>8</v>
      </c>
      <c r="EQ33" s="126">
        <v>41835</v>
      </c>
      <c r="ER33" s="243">
        <v>41835</v>
      </c>
      <c r="ES33" s="691">
        <f t="shared" si="143"/>
        <v>0</v>
      </c>
      <c r="ET33" s="747">
        <f>EQ33+45</f>
        <v>41880</v>
      </c>
      <c r="EU33" s="126">
        <v>42153</v>
      </c>
      <c r="EV33" s="694">
        <f t="shared" si="144"/>
        <v>273</v>
      </c>
      <c r="EW33" s="126">
        <f>EO33+300</f>
        <v>42051</v>
      </c>
      <c r="EX33" s="126">
        <v>42255</v>
      </c>
      <c r="EY33" s="691">
        <f t="shared" si="145"/>
        <v>204</v>
      </c>
      <c r="EZ33" s="126">
        <f>EW33+30</f>
        <v>42081</v>
      </c>
      <c r="FA33" s="126">
        <v>42943</v>
      </c>
      <c r="FB33" s="691">
        <f t="shared" si="146"/>
        <v>862</v>
      </c>
      <c r="FC33" s="126">
        <f>EZ33</f>
        <v>42081</v>
      </c>
      <c r="FD33" s="126">
        <v>42943</v>
      </c>
      <c r="FE33" s="691">
        <f t="shared" si="147"/>
        <v>862</v>
      </c>
      <c r="FF33" s="126">
        <f>FC33+60</f>
        <v>42141</v>
      </c>
      <c r="FG33" s="126">
        <v>42934</v>
      </c>
      <c r="FH33" s="691">
        <f t="shared" si="148"/>
        <v>793</v>
      </c>
      <c r="FI33" s="126">
        <f>FF33+90</f>
        <v>42231</v>
      </c>
      <c r="FJ33" s="126">
        <v>42985</v>
      </c>
      <c r="FK33" s="691">
        <f t="shared" si="149"/>
        <v>754</v>
      </c>
      <c r="FL33" s="126">
        <v>43052</v>
      </c>
      <c r="FM33" s="126">
        <v>43041</v>
      </c>
      <c r="FN33" s="126">
        <v>43031</v>
      </c>
      <c r="FO33" s="126">
        <f>CQ33</f>
        <v>42207</v>
      </c>
      <c r="FP33" s="126">
        <f>CR33</f>
        <v>43055</v>
      </c>
      <c r="FQ33" s="133">
        <f t="shared" si="150"/>
        <v>15.2</v>
      </c>
      <c r="FR33" s="126">
        <v>42217</v>
      </c>
      <c r="FS33" s="126">
        <f>CX33</f>
        <v>43069</v>
      </c>
      <c r="FT33" s="907">
        <v>366248</v>
      </c>
      <c r="FU33" s="723"/>
      <c r="FV33" s="727"/>
      <c r="FW33" s="727"/>
      <c r="FX33" s="728">
        <f t="shared" si="151"/>
        <v>9.5</v>
      </c>
      <c r="FY33" s="728">
        <f t="shared" si="152"/>
        <v>28.4</v>
      </c>
      <c r="FZ33" s="909" t="s">
        <v>937</v>
      </c>
      <c r="GA33" s="911" t="s">
        <v>938</v>
      </c>
      <c r="GB33" s="724"/>
      <c r="GC33" s="911" t="s">
        <v>939</v>
      </c>
      <c r="GD33" s="113" t="s">
        <v>121</v>
      </c>
      <c r="GE33" s="822">
        <v>2715924</v>
      </c>
      <c r="GF33" s="11">
        <f t="shared" si="173"/>
        <v>2715924</v>
      </c>
      <c r="GG33" s="12">
        <f t="shared" si="175"/>
        <v>3348225</v>
      </c>
      <c r="GH33" s="13">
        <f t="shared" si="153"/>
        <v>632301</v>
      </c>
      <c r="GI33" s="52">
        <f t="shared" si="154"/>
        <v>2496.8493191546481</v>
      </c>
      <c r="GJ33" s="52">
        <f t="shared" si="155"/>
        <v>186012.5</v>
      </c>
      <c r="GK33" s="11">
        <v>2383274</v>
      </c>
      <c r="GL33" s="12">
        <v>2329832</v>
      </c>
      <c r="GM33" s="13">
        <f t="shared" si="156"/>
        <v>-53442</v>
      </c>
      <c r="GN33" s="135">
        <f t="shared" si="157"/>
        <v>0.89594655594191874</v>
      </c>
      <c r="GO33" s="136"/>
      <c r="GP33" s="11">
        <v>717900</v>
      </c>
      <c r="GQ33" s="12">
        <v>736924</v>
      </c>
      <c r="GR33" s="70"/>
      <c r="GS33" s="22">
        <f t="shared" si="158"/>
        <v>40940.222222222219</v>
      </c>
      <c r="GT33" s="38">
        <f t="shared" si="159"/>
        <v>19024</v>
      </c>
      <c r="GU33" s="11">
        <v>1504024</v>
      </c>
      <c r="GV33" s="12">
        <f t="shared" si="160"/>
        <v>1490303</v>
      </c>
      <c r="GW33" s="14">
        <v>341701</v>
      </c>
      <c r="GX33" s="14">
        <v>1148602</v>
      </c>
      <c r="GY33" s="38">
        <f t="shared" si="161"/>
        <v>-13721</v>
      </c>
      <c r="GZ33" s="888">
        <f t="shared" si="162"/>
        <v>82794.611111111109</v>
      </c>
      <c r="HA33" s="12"/>
      <c r="HB33" s="11">
        <v>494000</v>
      </c>
      <c r="HC33" s="12">
        <v>432000</v>
      </c>
      <c r="HD33" s="70"/>
      <c r="HE33" s="41">
        <f t="shared" si="163"/>
        <v>0.12902358712452119</v>
      </c>
      <c r="HF33" s="95">
        <v>688998</v>
      </c>
      <c r="HG33" s="12">
        <v>0</v>
      </c>
      <c r="HH33" s="23">
        <f t="shared" si="164"/>
        <v>-62000</v>
      </c>
      <c r="HI33" s="22">
        <f t="shared" si="165"/>
        <v>24000</v>
      </c>
      <c r="HJ33" s="52">
        <f t="shared" si="166"/>
        <v>64940.222222222219</v>
      </c>
      <c r="HK33" s="23">
        <f t="shared" si="167"/>
        <v>-3444.4444444444443</v>
      </c>
      <c r="HL33" s="51"/>
      <c r="HM33" s="51"/>
      <c r="HN33" s="40">
        <v>0</v>
      </c>
      <c r="HO33" s="40">
        <v>0</v>
      </c>
      <c r="HP33" s="22">
        <f t="shared" si="168"/>
        <v>64940.222222222219</v>
      </c>
      <c r="HQ33" s="40">
        <v>0</v>
      </c>
      <c r="HR33" s="22">
        <f t="shared" si="169"/>
        <v>64940.222222222219</v>
      </c>
      <c r="HS33" s="53">
        <f t="shared" si="170"/>
        <v>0.34911751749061071</v>
      </c>
      <c r="HT33" s="40"/>
      <c r="HU33" s="40"/>
      <c r="HV33" s="590">
        <v>0</v>
      </c>
      <c r="HW33" s="42">
        <f t="shared" si="171"/>
        <v>3348225</v>
      </c>
      <c r="HX33" s="243">
        <v>149910</v>
      </c>
      <c r="HY33" s="243">
        <f t="shared" si="172"/>
        <v>66209</v>
      </c>
      <c r="HZ33" s="118">
        <v>41257</v>
      </c>
      <c r="IA33" s="243">
        <v>14755</v>
      </c>
      <c r="IB33" s="243"/>
      <c r="IC33" s="118"/>
      <c r="ID33" s="118">
        <v>41373</v>
      </c>
      <c r="IE33" s="243">
        <v>4453</v>
      </c>
      <c r="IF33" s="118">
        <v>41311</v>
      </c>
      <c r="IG33" s="243">
        <v>14755</v>
      </c>
      <c r="IH33" s="118">
        <v>41453</v>
      </c>
      <c r="II33" s="243">
        <v>12951</v>
      </c>
      <c r="IJ33" s="119">
        <v>41514</v>
      </c>
      <c r="IK33" s="403">
        <v>19295</v>
      </c>
      <c r="IL33" s="338"/>
      <c r="IM33" s="338"/>
      <c r="IN33" s="126"/>
      <c r="IO33" s="243"/>
      <c r="IP33" s="126"/>
      <c r="IQ33" s="243"/>
      <c r="IR33" s="119"/>
      <c r="IS33" s="119"/>
      <c r="IT33" s="119"/>
      <c r="IU33" s="119"/>
      <c r="IV33" s="286"/>
      <c r="IW33" s="286"/>
      <c r="IX33" s="286"/>
      <c r="IY33" s="286"/>
      <c r="IZ33" s="286"/>
      <c r="JA33" s="286"/>
      <c r="JB33" s="243">
        <v>14755</v>
      </c>
      <c r="JC33" s="126"/>
      <c r="JD33" s="119"/>
      <c r="JE33" s="126"/>
      <c r="JF33" s="126"/>
      <c r="JG33" s="119"/>
    </row>
    <row r="34" spans="1:267" ht="24.95" customHeight="1">
      <c r="A34" s="913" t="s">
        <v>475</v>
      </c>
      <c r="B34" s="8" t="s">
        <v>28</v>
      </c>
      <c r="C34" s="8" t="s">
        <v>113</v>
      </c>
      <c r="D34" s="8">
        <v>2013</v>
      </c>
      <c r="E34" s="8" t="s">
        <v>53</v>
      </c>
      <c r="F34" s="8" t="s">
        <v>58</v>
      </c>
      <c r="G34" s="8" t="s">
        <v>292</v>
      </c>
      <c r="H34" s="8" t="s">
        <v>176</v>
      </c>
      <c r="I34" s="56"/>
      <c r="J34" s="56"/>
      <c r="K34" s="272" t="s">
        <v>753</v>
      </c>
      <c r="L34" s="171" t="s">
        <v>65</v>
      </c>
      <c r="M34" s="108" t="s">
        <v>70</v>
      </c>
      <c r="N34" s="109">
        <v>41627</v>
      </c>
      <c r="O34" s="217">
        <v>11354</v>
      </c>
      <c r="P34" s="217">
        <v>444858</v>
      </c>
      <c r="Q34" s="217">
        <v>247250</v>
      </c>
      <c r="R34" s="217">
        <f t="shared" si="180"/>
        <v>13084.058823529413</v>
      </c>
      <c r="S34" s="217">
        <f t="shared" si="177"/>
        <v>39.180729258411134</v>
      </c>
      <c r="T34" s="217">
        <f t="shared" si="178"/>
        <v>21.776466443544127</v>
      </c>
      <c r="U34" s="217">
        <f t="shared" si="181"/>
        <v>93.413630644960193</v>
      </c>
      <c r="V34" s="217">
        <f t="shared" si="182"/>
        <v>7272.0588235294117</v>
      </c>
      <c r="W34" s="217">
        <f t="shared" si="183"/>
        <v>333.94117647058823</v>
      </c>
      <c r="X34" s="218"/>
      <c r="Y34" s="219">
        <f t="shared" si="184"/>
        <v>0.23311872467852737</v>
      </c>
      <c r="Z34" s="218" t="s">
        <v>201</v>
      </c>
      <c r="AA34" s="220">
        <v>300</v>
      </c>
      <c r="AB34" s="221"/>
      <c r="AC34" s="8" t="s">
        <v>16</v>
      </c>
      <c r="AD34" s="342">
        <f t="shared" si="120"/>
        <v>34</v>
      </c>
      <c r="AE34" s="9"/>
      <c r="AF34" s="8">
        <v>34</v>
      </c>
      <c r="AG34" s="56"/>
      <c r="AH34" s="56"/>
      <c r="AI34" s="10">
        <v>2592.75</v>
      </c>
      <c r="AJ34" s="85">
        <v>2646.83</v>
      </c>
      <c r="AK34" s="10">
        <f t="shared" si="121"/>
        <v>77.847941176470584</v>
      </c>
      <c r="AL34" s="62"/>
      <c r="AM34" s="62"/>
      <c r="AN34" s="62"/>
      <c r="AO34" s="62"/>
      <c r="AP34" s="62"/>
      <c r="AQ34" s="10">
        <v>1035</v>
      </c>
      <c r="AR34" s="79" t="s">
        <v>337</v>
      </c>
      <c r="AS34" s="81" t="e">
        <f t="shared" si="122"/>
        <v>#VALUE!</v>
      </c>
      <c r="AT34" s="62">
        <v>2</v>
      </c>
      <c r="AU34" s="56" t="s">
        <v>625</v>
      </c>
      <c r="AV34" s="8" t="s">
        <v>122</v>
      </c>
      <c r="AW34" s="194">
        <v>41173</v>
      </c>
      <c r="AX34" s="194">
        <v>41348</v>
      </c>
      <c r="AY34" s="112" t="s">
        <v>12</v>
      </c>
      <c r="AZ34" s="112" t="s">
        <v>151</v>
      </c>
      <c r="BA34" s="829"/>
      <c r="BB34" s="214">
        <v>41484</v>
      </c>
      <c r="BC34" s="101"/>
      <c r="BD34" s="101">
        <v>41498</v>
      </c>
      <c r="BE34" s="214">
        <v>41509</v>
      </c>
      <c r="BF34" s="101"/>
      <c r="BG34" s="169">
        <v>41549</v>
      </c>
      <c r="BH34" s="212">
        <v>41576</v>
      </c>
      <c r="BI34" s="170">
        <f>DATE(YEAR(BH34),MONTH(BH34)+3,DAY(BH34))</f>
        <v>41668</v>
      </c>
      <c r="BJ34" s="170"/>
      <c r="BK34" s="320">
        <v>41659</v>
      </c>
      <c r="BL34" s="319">
        <f t="shared" si="123"/>
        <v>42389</v>
      </c>
      <c r="BM34" s="319">
        <f t="shared" si="124"/>
        <v>42755</v>
      </c>
      <c r="BN34" s="319" t="str">
        <f t="shared" si="125"/>
        <v>oui</v>
      </c>
      <c r="BO34" s="170"/>
      <c r="BP34" s="578" t="s">
        <v>182</v>
      </c>
      <c r="BQ34" s="102"/>
      <c r="BR34" s="103"/>
      <c r="BS34" s="106"/>
      <c r="BT34" s="106"/>
      <c r="BU34" s="165" t="s">
        <v>150</v>
      </c>
      <c r="BV34" s="330">
        <v>41627</v>
      </c>
      <c r="BW34" s="266"/>
      <c r="BX34" s="166">
        <v>5177307.8499999996</v>
      </c>
      <c r="BY34" s="172">
        <f t="shared" si="126"/>
        <v>42174</v>
      </c>
      <c r="BZ34" s="172"/>
      <c r="CA34" s="441">
        <v>41988</v>
      </c>
      <c r="CB34" s="266">
        <v>42323</v>
      </c>
      <c r="CC34" s="780">
        <f t="shared" si="179"/>
        <v>25</v>
      </c>
      <c r="CD34" s="617"/>
      <c r="CE34" s="448">
        <v>41729</v>
      </c>
      <c r="CF34" s="442">
        <v>2014</v>
      </c>
      <c r="CG34" s="601">
        <f t="shared" si="127"/>
        <v>8.1666666666666661</v>
      </c>
      <c r="CH34" s="254">
        <v>18</v>
      </c>
      <c r="CI34" s="128">
        <f t="shared" si="176"/>
        <v>19</v>
      </c>
      <c r="CJ34" s="255">
        <f t="shared" si="128"/>
        <v>43</v>
      </c>
      <c r="CK34" s="255">
        <f t="shared" si="129"/>
        <v>44</v>
      </c>
      <c r="CL34" s="255">
        <f t="shared" si="130"/>
        <v>25</v>
      </c>
      <c r="CM34" s="255">
        <f t="shared" si="131"/>
        <v>25</v>
      </c>
      <c r="CN34" s="245">
        <f>170360/12</f>
        <v>14196.666666666666</v>
      </c>
      <c r="CO34" s="245">
        <f t="shared" si="132"/>
        <v>354916.66666666663</v>
      </c>
      <c r="CP34" s="248">
        <v>42342</v>
      </c>
      <c r="CQ34" s="751">
        <f t="shared" si="133"/>
        <v>42278</v>
      </c>
      <c r="CR34" s="450">
        <v>43068</v>
      </c>
      <c r="CS34" s="874">
        <f t="shared" si="134"/>
        <v>42719</v>
      </c>
      <c r="CT34" s="120">
        <v>43131</v>
      </c>
      <c r="CU34" s="871">
        <f t="shared" si="135"/>
        <v>4.5750000000000002</v>
      </c>
      <c r="CV34" s="248"/>
      <c r="CW34" s="801">
        <v>43054</v>
      </c>
      <c r="CX34" s="804">
        <v>43073</v>
      </c>
      <c r="CY34" s="444">
        <v>2017</v>
      </c>
      <c r="CZ34" s="340">
        <v>42982</v>
      </c>
      <c r="DA34" s="197" t="s">
        <v>582</v>
      </c>
      <c r="DB34" s="340">
        <v>43164</v>
      </c>
      <c r="DC34" s="124"/>
      <c r="DD34" s="124"/>
      <c r="DE34" s="124"/>
      <c r="DF34" s="124"/>
      <c r="DG34" s="296">
        <f t="shared" si="174"/>
        <v>43433</v>
      </c>
      <c r="DH34" s="340">
        <v>43153</v>
      </c>
      <c r="DI34" s="126">
        <v>43171</v>
      </c>
      <c r="DJ34" s="125"/>
      <c r="DK34" s="125"/>
      <c r="DL34" s="56"/>
      <c r="DM34" s="56"/>
      <c r="DN34" s="56"/>
      <c r="DO34" s="56"/>
      <c r="DP34" s="58" t="s">
        <v>934</v>
      </c>
      <c r="DQ34" s="56"/>
      <c r="DR34" s="56"/>
      <c r="DS34" s="56"/>
      <c r="DT34" s="126"/>
      <c r="DU34" s="119"/>
      <c r="DV34" s="119"/>
      <c r="DW34" s="691" t="str">
        <f t="shared" si="136"/>
        <v>0</v>
      </c>
      <c r="DX34" s="126"/>
      <c r="DY34" s="126"/>
      <c r="DZ34" s="691" t="str">
        <f t="shared" si="137"/>
        <v>0</v>
      </c>
      <c r="EA34" s="133"/>
      <c r="EB34" s="126"/>
      <c r="EC34" s="691" t="str">
        <f t="shared" si="138"/>
        <v>0</v>
      </c>
      <c r="ED34" s="133"/>
      <c r="EE34" s="126"/>
      <c r="EF34" s="691" t="str">
        <f t="shared" si="139"/>
        <v>0</v>
      </c>
      <c r="EG34" s="133"/>
      <c r="EH34" s="745"/>
      <c r="EI34" s="691" t="str">
        <f t="shared" si="140"/>
        <v>0</v>
      </c>
      <c r="EJ34" s="243"/>
      <c r="EK34" s="126"/>
      <c r="EL34" s="243"/>
      <c r="EM34" s="691" t="str">
        <f t="shared" si="141"/>
        <v>0</v>
      </c>
      <c r="EN34" s="126"/>
      <c r="EO34" s="243"/>
      <c r="EP34" s="691" t="str">
        <f t="shared" si="142"/>
        <v>0</v>
      </c>
      <c r="EQ34" s="126"/>
      <c r="ER34" s="243"/>
      <c r="ES34" s="691" t="str">
        <f t="shared" si="143"/>
        <v>0</v>
      </c>
      <c r="ET34" s="747"/>
      <c r="EU34" s="743"/>
      <c r="EV34" s="694" t="str">
        <f t="shared" si="144"/>
        <v>0</v>
      </c>
      <c r="EW34" s="133"/>
      <c r="EX34" s="748"/>
      <c r="EY34" s="691" t="str">
        <f t="shared" si="145"/>
        <v>0</v>
      </c>
      <c r="EZ34" s="243"/>
      <c r="FA34" s="126"/>
      <c r="FB34" s="691" t="str">
        <f t="shared" si="146"/>
        <v>0</v>
      </c>
      <c r="FC34" s="119"/>
      <c r="FD34" s="119"/>
      <c r="FE34" s="691" t="str">
        <f t="shared" si="147"/>
        <v>0</v>
      </c>
      <c r="FF34" s="119"/>
      <c r="FG34" s="119"/>
      <c r="FH34" s="691" t="str">
        <f t="shared" si="148"/>
        <v>0</v>
      </c>
      <c r="FI34" s="119"/>
      <c r="FJ34" s="119"/>
      <c r="FK34" s="691" t="str">
        <f t="shared" si="149"/>
        <v>0</v>
      </c>
      <c r="FL34" s="119"/>
      <c r="FM34" s="119"/>
      <c r="FN34" s="119"/>
      <c r="FO34" s="703"/>
      <c r="FP34" s="701"/>
      <c r="FQ34" s="699">
        <f t="shared" si="150"/>
        <v>0</v>
      </c>
      <c r="FR34" s="703"/>
      <c r="FS34" s="703"/>
      <c r="FT34" s="908">
        <v>51376</v>
      </c>
      <c r="FU34" s="723"/>
      <c r="FV34" s="727">
        <v>30000</v>
      </c>
      <c r="FW34" s="727"/>
      <c r="FX34" s="728">
        <f t="shared" si="151"/>
        <v>0</v>
      </c>
      <c r="FY34" s="728">
        <f t="shared" si="152"/>
        <v>0</v>
      </c>
      <c r="FZ34" s="910"/>
      <c r="GA34" s="912" t="s">
        <v>871</v>
      </c>
      <c r="GB34" s="724"/>
      <c r="GC34" s="910"/>
      <c r="GD34" s="113" t="s">
        <v>121</v>
      </c>
      <c r="GE34" s="822">
        <v>5039187</v>
      </c>
      <c r="GF34" s="11">
        <f t="shared" si="173"/>
        <v>5045187</v>
      </c>
      <c r="GG34" s="12">
        <f t="shared" si="175"/>
        <v>5885060.5800000001</v>
      </c>
      <c r="GH34" s="13">
        <f t="shared" si="153"/>
        <v>839873.58000000007</v>
      </c>
      <c r="GI34" s="52">
        <f t="shared" si="154"/>
        <v>2269.8141278565231</v>
      </c>
      <c r="GJ34" s="52">
        <f t="shared" si="155"/>
        <v>173090.01705882352</v>
      </c>
      <c r="GK34" s="11">
        <v>4467345</v>
      </c>
      <c r="GL34" s="12">
        <v>4848194</v>
      </c>
      <c r="GM34" s="13">
        <f t="shared" si="156"/>
        <v>380849</v>
      </c>
      <c r="GN34" s="135">
        <f t="shared" si="157"/>
        <v>0.90406148374678663</v>
      </c>
      <c r="GO34" s="136"/>
      <c r="GP34" s="11">
        <v>1408892</v>
      </c>
      <c r="GQ34" s="12">
        <v>1600171.58</v>
      </c>
      <c r="GR34" s="70"/>
      <c r="GS34" s="22">
        <f t="shared" si="158"/>
        <v>47063.87</v>
      </c>
      <c r="GT34" s="38">
        <f t="shared" si="159"/>
        <v>191279.58000000007</v>
      </c>
      <c r="GU34" s="11">
        <v>2956295</v>
      </c>
      <c r="GV34" s="12">
        <f t="shared" si="160"/>
        <v>3023907</v>
      </c>
      <c r="GW34" s="14">
        <v>650910</v>
      </c>
      <c r="GX34" s="14">
        <v>2372997</v>
      </c>
      <c r="GY34" s="38">
        <f t="shared" si="161"/>
        <v>67612</v>
      </c>
      <c r="GZ34" s="888">
        <f t="shared" si="162"/>
        <v>88938.441176470587</v>
      </c>
      <c r="HA34" s="12"/>
      <c r="HB34" s="11">
        <v>680000</v>
      </c>
      <c r="HC34" s="12">
        <v>680000</v>
      </c>
      <c r="HD34" s="70"/>
      <c r="HE34" s="41">
        <f t="shared" si="163"/>
        <v>0.11554681396329823</v>
      </c>
      <c r="HF34" s="95">
        <v>580982</v>
      </c>
      <c r="HG34" s="12">
        <v>0</v>
      </c>
      <c r="HH34" s="23">
        <f t="shared" si="164"/>
        <v>0</v>
      </c>
      <c r="HI34" s="22">
        <f t="shared" si="165"/>
        <v>20000</v>
      </c>
      <c r="HJ34" s="52">
        <f t="shared" si="166"/>
        <v>67063.87</v>
      </c>
      <c r="HK34" s="23">
        <f t="shared" si="167"/>
        <v>0</v>
      </c>
      <c r="HL34" s="51"/>
      <c r="HM34" s="51"/>
      <c r="HN34" s="40">
        <v>1298644.9078014998</v>
      </c>
      <c r="HO34" s="40">
        <v>680000</v>
      </c>
      <c r="HP34" s="22">
        <f t="shared" si="168"/>
        <v>87063.87</v>
      </c>
      <c r="HQ34" s="40">
        <v>0</v>
      </c>
      <c r="HR34" s="22">
        <f t="shared" si="169"/>
        <v>87063.87</v>
      </c>
      <c r="HS34" s="53">
        <f t="shared" si="170"/>
        <v>0.42707533654989638</v>
      </c>
      <c r="HT34" s="40">
        <v>252442.25</v>
      </c>
      <c r="HU34" s="40"/>
      <c r="HV34" s="590">
        <v>0</v>
      </c>
      <c r="HW34" s="42">
        <f t="shared" si="171"/>
        <v>7183705.4878014997</v>
      </c>
      <c r="HX34" s="243">
        <v>258409</v>
      </c>
      <c r="HY34" s="243">
        <f t="shared" si="172"/>
        <v>349737</v>
      </c>
      <c r="HZ34" s="118">
        <v>40779</v>
      </c>
      <c r="IA34" s="243">
        <v>210013</v>
      </c>
      <c r="IB34" s="243"/>
      <c r="IC34" s="118"/>
      <c r="ID34" s="118"/>
      <c r="IE34" s="243"/>
      <c r="IF34" s="118">
        <v>41332</v>
      </c>
      <c r="IG34" s="243">
        <v>39806</v>
      </c>
      <c r="IH34" s="118">
        <v>41485</v>
      </c>
      <c r="II34" s="243">
        <v>24327</v>
      </c>
      <c r="IJ34" s="119">
        <v>41570</v>
      </c>
      <c r="IK34" s="403">
        <v>36491</v>
      </c>
      <c r="IL34" s="338"/>
      <c r="IM34" s="338"/>
      <c r="IN34" s="126" t="s">
        <v>129</v>
      </c>
      <c r="IO34" s="243"/>
      <c r="IP34" s="126">
        <v>42719</v>
      </c>
      <c r="IQ34" s="243">
        <v>39100</v>
      </c>
      <c r="IR34" s="119"/>
      <c r="IS34" s="119"/>
      <c r="IT34" s="119"/>
      <c r="IU34" s="119"/>
      <c r="IV34" s="286"/>
      <c r="IW34" s="286"/>
      <c r="IX34" s="286"/>
      <c r="IY34" s="286"/>
      <c r="IZ34" s="286"/>
      <c r="JA34" s="286"/>
      <c r="JB34" s="243">
        <v>39806</v>
      </c>
      <c r="JC34" s="126"/>
      <c r="JD34" s="119"/>
      <c r="JE34" s="126"/>
      <c r="JF34" s="126"/>
      <c r="JG34" s="119"/>
    </row>
    <row r="35" spans="1:267" ht="24.95" customHeight="1">
      <c r="A35" s="914" t="s">
        <v>38</v>
      </c>
      <c r="B35" s="8" t="s">
        <v>35</v>
      </c>
      <c r="C35" s="8" t="s">
        <v>113</v>
      </c>
      <c r="D35" s="8">
        <v>2013</v>
      </c>
      <c r="E35" s="8" t="s">
        <v>39</v>
      </c>
      <c r="F35" s="8" t="s">
        <v>58</v>
      </c>
      <c r="G35" s="8" t="s">
        <v>725</v>
      </c>
      <c r="H35" s="8" t="s">
        <v>176</v>
      </c>
      <c r="I35" s="56"/>
      <c r="J35" s="56"/>
      <c r="K35" s="272"/>
      <c r="L35" s="567" t="s">
        <v>66</v>
      </c>
      <c r="M35" s="567" t="s">
        <v>68</v>
      </c>
      <c r="N35" s="767">
        <v>41619</v>
      </c>
      <c r="O35" s="217">
        <v>5146</v>
      </c>
      <c r="P35" s="217">
        <f>Q35</f>
        <v>1069200</v>
      </c>
      <c r="Q35" s="217">
        <v>1069200</v>
      </c>
      <c r="R35" s="217">
        <f t="shared" si="180"/>
        <v>19800</v>
      </c>
      <c r="S35" s="217">
        <f t="shared" si="177"/>
        <v>207.77302759424796</v>
      </c>
      <c r="T35" s="217">
        <f t="shared" si="178"/>
        <v>207.77302759424796</v>
      </c>
      <c r="U35" s="217">
        <f t="shared" si="181"/>
        <v>226.47840067104713</v>
      </c>
      <c r="V35" s="217">
        <f t="shared" si="182"/>
        <v>19800</v>
      </c>
      <c r="W35" s="217">
        <f t="shared" si="183"/>
        <v>95.296296296296291</v>
      </c>
      <c r="X35" s="218">
        <v>2205.9499999999998</v>
      </c>
      <c r="Y35" s="219">
        <f t="shared" si="184"/>
        <v>0.91740769529731825</v>
      </c>
      <c r="Z35" s="218" t="s">
        <v>198</v>
      </c>
      <c r="AA35" s="220">
        <v>570</v>
      </c>
      <c r="AB35" s="221">
        <v>0.15</v>
      </c>
      <c r="AC35" s="8" t="s">
        <v>15</v>
      </c>
      <c r="AD35" s="342">
        <f t="shared" si="120"/>
        <v>54</v>
      </c>
      <c r="AE35" s="8">
        <v>54</v>
      </c>
      <c r="AF35" s="9"/>
      <c r="AG35" s="67"/>
      <c r="AH35" s="67"/>
      <c r="AI35" s="10">
        <v>4668.4799999999996</v>
      </c>
      <c r="AJ35" s="85">
        <v>4720.9799999999996</v>
      </c>
      <c r="AK35" s="10">
        <f t="shared" si="121"/>
        <v>87.425555555555547</v>
      </c>
      <c r="AL35" s="62"/>
      <c r="AM35" s="62"/>
      <c r="AN35" s="62"/>
      <c r="AO35" s="62"/>
      <c r="AP35" s="62"/>
      <c r="AQ35" s="10"/>
      <c r="AR35" s="79">
        <v>0</v>
      </c>
      <c r="AS35" s="81">
        <f t="shared" si="122"/>
        <v>0</v>
      </c>
      <c r="AT35" s="66" t="s">
        <v>199</v>
      </c>
      <c r="AU35" s="59" t="s">
        <v>626</v>
      </c>
      <c r="AV35" s="8" t="s">
        <v>121</v>
      </c>
      <c r="AW35" s="194">
        <v>41233</v>
      </c>
      <c r="AX35" s="194">
        <v>41348</v>
      </c>
      <c r="AY35" s="112" t="s">
        <v>12</v>
      </c>
      <c r="AZ35" s="112" t="s">
        <v>137</v>
      </c>
      <c r="BA35" s="576"/>
      <c r="BB35" s="214">
        <v>41466</v>
      </c>
      <c r="BC35" s="101"/>
      <c r="BD35" s="101">
        <v>41498</v>
      </c>
      <c r="BE35" s="214">
        <v>41508</v>
      </c>
      <c r="BF35" s="101"/>
      <c r="BG35" s="169">
        <v>41550</v>
      </c>
      <c r="BH35" s="212">
        <v>41576</v>
      </c>
      <c r="BI35" s="170">
        <f>DATE(YEAR(BH35),MONTH(BH35)+3,DAY(BH35))</f>
        <v>41668</v>
      </c>
      <c r="BJ35" s="170"/>
      <c r="BK35" s="320">
        <v>41659</v>
      </c>
      <c r="BL35" s="319">
        <f t="shared" si="123"/>
        <v>42389</v>
      </c>
      <c r="BM35" s="319">
        <f t="shared" si="124"/>
        <v>42755</v>
      </c>
      <c r="BN35" s="319" t="str">
        <f t="shared" si="125"/>
        <v>oui</v>
      </c>
      <c r="BO35" s="170"/>
      <c r="BP35" s="578" t="s">
        <v>182</v>
      </c>
      <c r="BQ35" s="102"/>
      <c r="BR35" s="103"/>
      <c r="BS35" s="106"/>
      <c r="BT35" s="106"/>
      <c r="BU35" s="172" t="s">
        <v>139</v>
      </c>
      <c r="BV35" s="330">
        <v>41626</v>
      </c>
      <c r="BW35" s="266"/>
      <c r="BX35" s="166">
        <v>9174750.6199999992</v>
      </c>
      <c r="BY35" s="172">
        <f t="shared" si="126"/>
        <v>42173</v>
      </c>
      <c r="BZ35" s="266">
        <f t="shared" ref="BZ35:BZ42" si="185">DATE(YEAR(BV35),MONTH(BV35)+24,DAY(BV35))</f>
        <v>42356</v>
      </c>
      <c r="CA35" s="441">
        <v>42656</v>
      </c>
      <c r="CB35" s="266">
        <v>42668</v>
      </c>
      <c r="CC35" s="780">
        <f t="shared" si="179"/>
        <v>13.766666666666667</v>
      </c>
      <c r="CD35" s="81"/>
      <c r="CE35" s="448">
        <v>41764</v>
      </c>
      <c r="CF35" s="444">
        <v>2014</v>
      </c>
      <c r="CG35" s="602">
        <f t="shared" si="127"/>
        <v>9.9333333333333336</v>
      </c>
      <c r="CH35" s="254">
        <v>15</v>
      </c>
      <c r="CI35" s="128">
        <f t="shared" si="176"/>
        <v>16</v>
      </c>
      <c r="CJ35" s="255">
        <f t="shared" si="128"/>
        <v>43</v>
      </c>
      <c r="CK35" s="255">
        <f t="shared" si="129"/>
        <v>43</v>
      </c>
      <c r="CL35" s="255">
        <f t="shared" si="130"/>
        <v>28</v>
      </c>
      <c r="CM35" s="255">
        <f t="shared" si="131"/>
        <v>27</v>
      </c>
      <c r="CN35" s="245">
        <f>366249.787559262/12</f>
        <v>30520.815629938501</v>
      </c>
      <c r="CO35" s="245">
        <f t="shared" si="132"/>
        <v>854582.83763827803</v>
      </c>
      <c r="CP35" s="248">
        <v>42527</v>
      </c>
      <c r="CQ35" s="751">
        <f t="shared" si="133"/>
        <v>42221</v>
      </c>
      <c r="CR35" s="450">
        <v>43076</v>
      </c>
      <c r="CS35" s="874">
        <f t="shared" si="134"/>
        <v>43386</v>
      </c>
      <c r="CT35" s="120">
        <v>43131</v>
      </c>
      <c r="CU35" s="871">
        <f t="shared" si="135"/>
        <v>4.625</v>
      </c>
      <c r="CV35" s="868" t="s">
        <v>129</v>
      </c>
      <c r="CW35" s="801">
        <v>43066</v>
      </c>
      <c r="CX35" s="450">
        <v>43081</v>
      </c>
      <c r="CY35" s="444">
        <v>2017</v>
      </c>
      <c r="CZ35" s="340">
        <v>42970</v>
      </c>
      <c r="DA35" s="197" t="s">
        <v>582</v>
      </c>
      <c r="DB35" s="126">
        <v>43166</v>
      </c>
      <c r="DC35" s="125"/>
      <c r="DD35" s="125"/>
      <c r="DE35" s="125"/>
      <c r="DF35" s="56" t="s">
        <v>945</v>
      </c>
      <c r="DG35" s="296">
        <f t="shared" si="174"/>
        <v>43441</v>
      </c>
      <c r="DH35" s="340">
        <v>43152</v>
      </c>
      <c r="DI35" s="126">
        <v>43186</v>
      </c>
      <c r="DJ35" s="125"/>
      <c r="DK35" s="125"/>
      <c r="DL35" s="56"/>
      <c r="DM35" s="56"/>
      <c r="DN35" s="56"/>
      <c r="DO35" s="194"/>
      <c r="DP35" s="58" t="s">
        <v>934</v>
      </c>
      <c r="DQ35" s="56"/>
      <c r="DR35" s="56"/>
      <c r="DS35" s="56"/>
      <c r="DT35" s="126"/>
      <c r="DU35" s="126"/>
      <c r="DV35" s="126"/>
      <c r="DW35" s="691" t="str">
        <f t="shared" si="136"/>
        <v>0</v>
      </c>
      <c r="DX35" s="126"/>
      <c r="DY35" s="126"/>
      <c r="DZ35" s="691" t="str">
        <f t="shared" si="137"/>
        <v>0</v>
      </c>
      <c r="EA35" s="126"/>
      <c r="EB35" s="126"/>
      <c r="EC35" s="691" t="str">
        <f t="shared" si="138"/>
        <v>0</v>
      </c>
      <c r="ED35" s="126"/>
      <c r="EE35" s="126"/>
      <c r="EF35" s="691" t="str">
        <f t="shared" si="139"/>
        <v>0</v>
      </c>
      <c r="EG35" s="133"/>
      <c r="EH35" s="745"/>
      <c r="EI35" s="691" t="str">
        <f t="shared" si="140"/>
        <v>0</v>
      </c>
      <c r="EJ35" s="243"/>
      <c r="EK35" s="126"/>
      <c r="EL35" s="243"/>
      <c r="EM35" s="691" t="str">
        <f t="shared" si="141"/>
        <v>0</v>
      </c>
      <c r="EN35" s="126"/>
      <c r="EO35" s="243"/>
      <c r="EP35" s="691" t="str">
        <f t="shared" si="142"/>
        <v>0</v>
      </c>
      <c r="EQ35" s="126"/>
      <c r="ER35" s="243"/>
      <c r="ES35" s="691" t="str">
        <f t="shared" si="143"/>
        <v>0</v>
      </c>
      <c r="ET35" s="747"/>
      <c r="EU35" s="743"/>
      <c r="EV35" s="694" t="str">
        <f t="shared" si="144"/>
        <v>0</v>
      </c>
      <c r="EW35" s="133"/>
      <c r="EX35" s="748">
        <f ca="1">IF(EW35&lt;TODAY(),TODAY(),EW35)</f>
        <v>43188</v>
      </c>
      <c r="EY35" s="691" t="str">
        <f t="shared" ca="1" si="145"/>
        <v>0</v>
      </c>
      <c r="EZ35" s="126"/>
      <c r="FA35" s="126"/>
      <c r="FB35" s="691" t="str">
        <f t="shared" si="146"/>
        <v>0</v>
      </c>
      <c r="FC35" s="126"/>
      <c r="FD35" s="126"/>
      <c r="FE35" s="691" t="str">
        <f t="shared" si="147"/>
        <v>0</v>
      </c>
      <c r="FF35" s="126"/>
      <c r="FG35" s="126"/>
      <c r="FH35" s="691" t="str">
        <f t="shared" si="148"/>
        <v>0</v>
      </c>
      <c r="FI35" s="126"/>
      <c r="FJ35" s="126"/>
      <c r="FK35" s="691" t="str">
        <f t="shared" si="149"/>
        <v>0</v>
      </c>
      <c r="FL35" s="126"/>
      <c r="FM35" s="126"/>
      <c r="FN35" s="126"/>
      <c r="FO35" s="701"/>
      <c r="FP35" s="701"/>
      <c r="FQ35" s="699">
        <f t="shared" si="150"/>
        <v>0</v>
      </c>
      <c r="FR35" s="701"/>
      <c r="FS35" s="701"/>
      <c r="FT35" s="723"/>
      <c r="FU35" s="723"/>
      <c r="FV35" s="727"/>
      <c r="FW35" s="727"/>
      <c r="FX35" s="728">
        <f t="shared" si="151"/>
        <v>0</v>
      </c>
      <c r="FY35" s="728">
        <f t="shared" si="152"/>
        <v>0</v>
      </c>
      <c r="FZ35" s="724"/>
      <c r="GA35" s="741" t="s">
        <v>884</v>
      </c>
      <c r="GB35" s="724"/>
      <c r="GC35" s="724"/>
      <c r="GD35" s="113" t="s">
        <v>121</v>
      </c>
      <c r="GE35" s="822">
        <v>9099071</v>
      </c>
      <c r="GF35" s="11">
        <f t="shared" si="173"/>
        <v>9165001</v>
      </c>
      <c r="GG35" s="12">
        <f t="shared" si="175"/>
        <v>10112348</v>
      </c>
      <c r="GH35" s="13">
        <f t="shared" si="153"/>
        <v>947347</v>
      </c>
      <c r="GI35" s="52">
        <f t="shared" si="154"/>
        <v>2166.0900335869492</v>
      </c>
      <c r="GJ35" s="52">
        <f t="shared" si="155"/>
        <v>187265.70370370371</v>
      </c>
      <c r="GK35" s="768">
        <v>8367242</v>
      </c>
      <c r="GL35" s="12">
        <v>8644229</v>
      </c>
      <c r="GM35" s="13">
        <f t="shared" si="156"/>
        <v>276987</v>
      </c>
      <c r="GN35" s="135">
        <f t="shared" si="157"/>
        <v>0.93212800325935574</v>
      </c>
      <c r="GO35" s="136"/>
      <c r="GP35" s="11">
        <v>3120981</v>
      </c>
      <c r="GQ35" s="12">
        <v>3287400</v>
      </c>
      <c r="GR35" s="70"/>
      <c r="GS35" s="22">
        <f t="shared" si="158"/>
        <v>60877.777777777781</v>
      </c>
      <c r="GT35" s="38">
        <f t="shared" si="159"/>
        <v>166419</v>
      </c>
      <c r="GU35" s="11">
        <v>5978090</v>
      </c>
      <c r="GV35" s="12">
        <f t="shared" si="160"/>
        <v>5918673</v>
      </c>
      <c r="GW35" s="14">
        <v>1256197</v>
      </c>
      <c r="GX35" s="14">
        <v>4662476</v>
      </c>
      <c r="GY35" s="38">
        <f t="shared" si="161"/>
        <v>-59417</v>
      </c>
      <c r="GZ35" s="888">
        <f t="shared" si="162"/>
        <v>109605.05555555556</v>
      </c>
      <c r="HA35" s="12"/>
      <c r="HB35" s="11">
        <v>1</v>
      </c>
      <c r="HC35" s="12">
        <v>1</v>
      </c>
      <c r="HD35" s="70"/>
      <c r="HE35" s="41">
        <f t="shared" si="163"/>
        <v>9.8889001842104324E-8</v>
      </c>
      <c r="HF35" s="95">
        <v>822995</v>
      </c>
      <c r="HG35" s="12">
        <v>17350</v>
      </c>
      <c r="HH35" s="23">
        <f t="shared" si="164"/>
        <v>0</v>
      </c>
      <c r="HI35" s="22">
        <f t="shared" si="165"/>
        <v>1.8518518518518517E-2</v>
      </c>
      <c r="HJ35" s="52">
        <f t="shared" si="166"/>
        <v>60877.796296296299</v>
      </c>
      <c r="HK35" s="23">
        <f t="shared" si="167"/>
        <v>0</v>
      </c>
      <c r="HL35" s="51"/>
      <c r="HM35" s="51"/>
      <c r="HN35" s="40"/>
      <c r="HO35" s="40"/>
      <c r="HP35" s="22">
        <f t="shared" si="168"/>
        <v>60877.796296296299</v>
      </c>
      <c r="HQ35" s="40">
        <v>0</v>
      </c>
      <c r="HR35" s="22">
        <f t="shared" si="169"/>
        <v>60877.796296296299</v>
      </c>
      <c r="HS35" s="53">
        <f t="shared" si="170"/>
        <v>0.3250878035447356</v>
      </c>
      <c r="HT35" s="40"/>
      <c r="HU35" s="40"/>
      <c r="HV35" s="590">
        <v>65929</v>
      </c>
      <c r="HW35" s="42">
        <f t="shared" si="171"/>
        <v>10112348</v>
      </c>
      <c r="HX35" s="243">
        <v>455729</v>
      </c>
      <c r="HY35" s="243">
        <f t="shared" si="172"/>
        <v>225585</v>
      </c>
      <c r="HZ35" s="118">
        <v>41207</v>
      </c>
      <c r="IA35" s="243">
        <v>42868</v>
      </c>
      <c r="IB35" s="243"/>
      <c r="IC35" s="118"/>
      <c r="ID35" s="118"/>
      <c r="IE35" s="243"/>
      <c r="IF35" s="118">
        <v>41332</v>
      </c>
      <c r="IG35" s="243">
        <v>44712</v>
      </c>
      <c r="IH35" s="118">
        <v>41396</v>
      </c>
      <c r="II35" s="243">
        <v>65685</v>
      </c>
      <c r="IJ35" s="119">
        <v>41547</v>
      </c>
      <c r="IK35" s="403">
        <v>65685</v>
      </c>
      <c r="IL35" s="338"/>
      <c r="IM35" s="338"/>
      <c r="IN35" s="126"/>
      <c r="IO35" s="243"/>
      <c r="IP35" s="126"/>
      <c r="IQ35" s="243"/>
      <c r="IR35" s="119"/>
      <c r="IS35" s="119"/>
      <c r="IT35" s="119"/>
      <c r="IU35" s="119"/>
      <c r="IV35" s="250">
        <v>42822</v>
      </c>
      <c r="IW35" s="243">
        <v>6635</v>
      </c>
      <c r="IX35" s="286"/>
      <c r="IY35" s="286"/>
      <c r="IZ35" s="286"/>
      <c r="JA35" s="286"/>
      <c r="JB35" s="243">
        <v>44712</v>
      </c>
      <c r="JC35" s="126"/>
      <c r="JD35" s="119"/>
      <c r="JE35" s="126"/>
      <c r="JF35" s="126"/>
      <c r="JG35" s="119"/>
    </row>
    <row r="36" spans="1:267" ht="24.95" customHeight="1">
      <c r="A36" s="926" t="s">
        <v>288</v>
      </c>
      <c r="B36" s="8" t="s">
        <v>40</v>
      </c>
      <c r="C36" s="8" t="s">
        <v>115</v>
      </c>
      <c r="D36" s="19">
        <v>2014</v>
      </c>
      <c r="E36" s="8" t="s">
        <v>169</v>
      </c>
      <c r="F36" s="19" t="s">
        <v>58</v>
      </c>
      <c r="G36" s="8" t="s">
        <v>725</v>
      </c>
      <c r="H36" s="19" t="s">
        <v>176</v>
      </c>
      <c r="I36" s="57" t="s">
        <v>121</v>
      </c>
      <c r="J36" s="56"/>
      <c r="K36" s="272"/>
      <c r="L36" s="171" t="s">
        <v>64</v>
      </c>
      <c r="M36" s="108" t="s">
        <v>139</v>
      </c>
      <c r="N36" s="109"/>
      <c r="O36" s="223">
        <v>1500</v>
      </c>
      <c r="P36" s="223">
        <f>Q36</f>
        <v>128915</v>
      </c>
      <c r="Q36" s="223">
        <v>128915</v>
      </c>
      <c r="R36" s="217">
        <f t="shared" si="180"/>
        <v>8057.1875</v>
      </c>
      <c r="S36" s="223">
        <f t="shared" si="177"/>
        <v>85.943333333333328</v>
      </c>
      <c r="T36" s="223">
        <f t="shared" si="178"/>
        <v>85.943333333333328</v>
      </c>
      <c r="U36" s="223">
        <f t="shared" si="181"/>
        <v>91.134345662255399</v>
      </c>
      <c r="V36" s="223">
        <f t="shared" si="182"/>
        <v>8057.1875</v>
      </c>
      <c r="W36" s="217">
        <f t="shared" si="183"/>
        <v>93.75</v>
      </c>
      <c r="X36" s="227"/>
      <c r="Y36" s="228">
        <f t="shared" si="184"/>
        <v>0.94303999999999999</v>
      </c>
      <c r="Z36" s="227"/>
      <c r="AA36" s="568">
        <v>90</v>
      </c>
      <c r="AB36" s="569"/>
      <c r="AC36" s="8" t="s">
        <v>16</v>
      </c>
      <c r="AD36" s="342">
        <f t="shared" si="120"/>
        <v>16</v>
      </c>
      <c r="AE36" s="9"/>
      <c r="AF36" s="8">
        <v>16</v>
      </c>
      <c r="AG36" s="56"/>
      <c r="AH36" s="56"/>
      <c r="AI36" s="572">
        <v>1374.99</v>
      </c>
      <c r="AJ36" s="573">
        <v>1414.56</v>
      </c>
      <c r="AK36" s="10">
        <f t="shared" si="121"/>
        <v>88.41</v>
      </c>
      <c r="AL36" s="82">
        <f>2/AD36</f>
        <v>0.125</v>
      </c>
      <c r="AM36" s="82">
        <f>2/AD36</f>
        <v>0.125</v>
      </c>
      <c r="AN36" s="82">
        <f>6/AD36</f>
        <v>0.375</v>
      </c>
      <c r="AO36" s="82">
        <f>5/AD36</f>
        <v>0.3125</v>
      </c>
      <c r="AP36" s="82">
        <f>1/AD36</f>
        <v>6.25E-2</v>
      </c>
      <c r="AQ36" s="572"/>
      <c r="AR36" s="80">
        <v>0</v>
      </c>
      <c r="AS36" s="82">
        <f t="shared" si="122"/>
        <v>0</v>
      </c>
      <c r="AT36" s="61">
        <v>2.5</v>
      </c>
      <c r="AU36" s="59" t="s">
        <v>626</v>
      </c>
      <c r="AV36" s="19"/>
      <c r="AW36" s="200">
        <v>41667</v>
      </c>
      <c r="AX36" s="200">
        <v>41781</v>
      </c>
      <c r="AY36" s="112" t="s">
        <v>256</v>
      </c>
      <c r="AZ36" s="112" t="s">
        <v>411</v>
      </c>
      <c r="BA36" s="36"/>
      <c r="BB36" s="214">
        <v>41929</v>
      </c>
      <c r="BC36" s="101"/>
      <c r="BD36" s="101">
        <v>41955</v>
      </c>
      <c r="BE36" s="214">
        <v>41992</v>
      </c>
      <c r="BF36" s="101"/>
      <c r="BG36" s="169">
        <v>42017</v>
      </c>
      <c r="BH36" s="581" t="s">
        <v>280</v>
      </c>
      <c r="BI36" s="174">
        <v>42116</v>
      </c>
      <c r="BJ36" s="174">
        <v>42074</v>
      </c>
      <c r="BK36" s="319">
        <v>42118</v>
      </c>
      <c r="BL36" s="319">
        <f t="shared" si="123"/>
        <v>42849</v>
      </c>
      <c r="BM36" s="319">
        <f t="shared" si="124"/>
        <v>43214</v>
      </c>
      <c r="BN36" s="319" t="str">
        <f t="shared" si="125"/>
        <v>oui</v>
      </c>
      <c r="BO36" s="174" t="s">
        <v>273</v>
      </c>
      <c r="BP36" s="37" t="s">
        <v>291</v>
      </c>
      <c r="BQ36" s="198" t="s">
        <v>344</v>
      </c>
      <c r="BR36" s="103"/>
      <c r="BS36" s="103"/>
      <c r="BT36" s="103"/>
      <c r="BU36" s="165" t="s">
        <v>139</v>
      </c>
      <c r="BV36" s="330">
        <v>42478</v>
      </c>
      <c r="BW36" s="266" t="s">
        <v>460</v>
      </c>
      <c r="BX36" s="166">
        <v>2657721.79</v>
      </c>
      <c r="BY36" s="330">
        <v>42522</v>
      </c>
      <c r="BZ36" s="441">
        <f t="shared" si="185"/>
        <v>43208</v>
      </c>
      <c r="CA36" s="330">
        <v>42573</v>
      </c>
      <c r="CB36" s="273">
        <f>DATE(YEAR(BV36),MONTH(BV36)+22,DAY(BV36))</f>
        <v>43149</v>
      </c>
      <c r="CC36" s="780">
        <f t="shared" si="179"/>
        <v>-6.4</v>
      </c>
      <c r="CD36" s="616"/>
      <c r="CE36" s="448">
        <v>42488</v>
      </c>
      <c r="CF36" s="444">
        <v>2016</v>
      </c>
      <c r="CG36" s="602">
        <f t="shared" si="127"/>
        <v>18.633333333333333</v>
      </c>
      <c r="CH36" s="121">
        <v>13</v>
      </c>
      <c r="CI36" s="254">
        <f t="shared" si="176"/>
        <v>14</v>
      </c>
      <c r="CJ36" s="121">
        <f t="shared" si="128"/>
        <v>14</v>
      </c>
      <c r="CK36" s="254">
        <f t="shared" si="129"/>
        <v>15</v>
      </c>
      <c r="CL36" s="121">
        <f t="shared" si="130"/>
        <v>1</v>
      </c>
      <c r="CM36" s="254">
        <f t="shared" si="131"/>
        <v>1</v>
      </c>
      <c r="CN36" s="254">
        <f>88922.4268984531/12</f>
        <v>7410.2022415377578</v>
      </c>
      <c r="CO36" s="257">
        <f t="shared" si="132"/>
        <v>7410.2022415377578</v>
      </c>
      <c r="CP36" s="248">
        <v>42702</v>
      </c>
      <c r="CQ36" s="751">
        <f t="shared" si="133"/>
        <v>42883</v>
      </c>
      <c r="CR36" s="448">
        <v>42921</v>
      </c>
      <c r="CS36" s="751">
        <f t="shared" si="134"/>
        <v>43303</v>
      </c>
      <c r="CT36" s="120">
        <v>42928</v>
      </c>
      <c r="CU36" s="871">
        <f t="shared" si="135"/>
        <v>2.7749999999999999</v>
      </c>
      <c r="CV36" s="248" t="s">
        <v>129</v>
      </c>
      <c r="CW36" s="801">
        <v>42942</v>
      </c>
      <c r="CX36" s="450">
        <v>42957</v>
      </c>
      <c r="CY36" s="621">
        <v>2017</v>
      </c>
      <c r="CZ36" s="516">
        <v>42901</v>
      </c>
      <c r="DA36" s="249" t="s">
        <v>129</v>
      </c>
      <c r="DB36" s="249" t="s">
        <v>129</v>
      </c>
      <c r="DC36" s="210" t="s">
        <v>129</v>
      </c>
      <c r="DD36" s="126" t="s">
        <v>129</v>
      </c>
      <c r="DE36" s="340">
        <v>43146</v>
      </c>
      <c r="DF36" s="57" t="s">
        <v>944</v>
      </c>
      <c r="DG36" s="296">
        <f t="shared" si="174"/>
        <v>43286</v>
      </c>
      <c r="DH36" s="340">
        <v>43056</v>
      </c>
      <c r="DI36" s="340">
        <v>43059</v>
      </c>
      <c r="DJ36" s="127"/>
      <c r="DK36" s="127"/>
      <c r="DL36" s="57"/>
      <c r="DM36" s="57"/>
      <c r="DN36" s="57"/>
      <c r="DO36" s="57"/>
      <c r="DP36" s="247" t="s">
        <v>129</v>
      </c>
      <c r="DQ36" s="57"/>
      <c r="DR36" s="57"/>
      <c r="DS36" s="57"/>
      <c r="DT36" s="126"/>
      <c r="DU36" s="126"/>
      <c r="DV36" s="126"/>
      <c r="DW36" s="691" t="str">
        <f t="shared" si="136"/>
        <v>0</v>
      </c>
      <c r="DX36" s="126"/>
      <c r="DY36" s="126"/>
      <c r="DZ36" s="691" t="str">
        <f t="shared" si="137"/>
        <v>0</v>
      </c>
      <c r="EA36" s="126"/>
      <c r="EB36" s="126"/>
      <c r="EC36" s="691" t="str">
        <f t="shared" si="138"/>
        <v>0</v>
      </c>
      <c r="ED36" s="126"/>
      <c r="EE36" s="126"/>
      <c r="EF36" s="691" t="str">
        <f t="shared" si="139"/>
        <v>0</v>
      </c>
      <c r="EG36" s="133"/>
      <c r="EH36" s="745"/>
      <c r="EI36" s="691" t="str">
        <f t="shared" si="140"/>
        <v>0</v>
      </c>
      <c r="EJ36" s="243"/>
      <c r="EK36" s="126"/>
      <c r="EL36" s="243"/>
      <c r="EM36" s="691" t="str">
        <f t="shared" si="141"/>
        <v>0</v>
      </c>
      <c r="EN36" s="126"/>
      <c r="EO36" s="243"/>
      <c r="EP36" s="691" t="str">
        <f t="shared" si="142"/>
        <v>0</v>
      </c>
      <c r="EQ36" s="126"/>
      <c r="ER36" s="243"/>
      <c r="ES36" s="691" t="str">
        <f t="shared" si="143"/>
        <v>0</v>
      </c>
      <c r="ET36" s="747"/>
      <c r="EU36" s="743"/>
      <c r="EV36" s="694" t="str">
        <f t="shared" si="144"/>
        <v>0</v>
      </c>
      <c r="EW36" s="133"/>
      <c r="EX36" s="748"/>
      <c r="EY36" s="691" t="str">
        <f t="shared" si="145"/>
        <v>0</v>
      </c>
      <c r="EZ36" s="126"/>
      <c r="FA36" s="126"/>
      <c r="FB36" s="691" t="str">
        <f t="shared" si="146"/>
        <v>0</v>
      </c>
      <c r="FC36" s="126"/>
      <c r="FD36" s="126"/>
      <c r="FE36" s="691" t="str">
        <f t="shared" si="147"/>
        <v>0</v>
      </c>
      <c r="FF36" s="126"/>
      <c r="FG36" s="126"/>
      <c r="FH36" s="691" t="str">
        <f t="shared" si="148"/>
        <v>0</v>
      </c>
      <c r="FI36" s="126"/>
      <c r="FJ36" s="126"/>
      <c r="FK36" s="691" t="str">
        <f t="shared" si="149"/>
        <v>0</v>
      </c>
      <c r="FL36" s="126"/>
      <c r="FM36" s="126"/>
      <c r="FN36" s="126"/>
      <c r="FO36" s="701"/>
      <c r="FP36" s="701"/>
      <c r="FQ36" s="699">
        <f t="shared" si="150"/>
        <v>0</v>
      </c>
      <c r="FR36" s="701"/>
      <c r="FS36" s="701"/>
      <c r="FT36" s="723"/>
      <c r="FU36" s="723"/>
      <c r="FV36" s="727"/>
      <c r="FW36" s="727"/>
      <c r="FX36" s="728">
        <f t="shared" si="151"/>
        <v>0</v>
      </c>
      <c r="FY36" s="728">
        <f t="shared" si="152"/>
        <v>0</v>
      </c>
      <c r="FZ36" s="729"/>
      <c r="GA36" s="755" t="s">
        <v>888</v>
      </c>
      <c r="GB36" s="729"/>
      <c r="GC36" s="729"/>
      <c r="GD36" s="113"/>
      <c r="GE36" s="822">
        <v>2681224</v>
      </c>
      <c r="GF36" s="21">
        <f>GP36+GU36+HB36</f>
        <v>2681224</v>
      </c>
      <c r="GG36" s="585">
        <f t="shared" si="175"/>
        <v>2785032.37</v>
      </c>
      <c r="GH36" s="48">
        <f t="shared" si="153"/>
        <v>103808.37000000011</v>
      </c>
      <c r="GI36" s="52">
        <f t="shared" si="154"/>
        <v>2025.4928181295866</v>
      </c>
      <c r="GJ36" s="52">
        <f t="shared" si="155"/>
        <v>174064.52312500001</v>
      </c>
      <c r="GK36" s="21"/>
      <c r="GL36" s="585">
        <v>2460822</v>
      </c>
      <c r="GM36" s="48">
        <f t="shared" si="156"/>
        <v>2460822</v>
      </c>
      <c r="GN36" s="135">
        <f t="shared" ref="GN36:GN48" si="186">GL36*1.021/GG36</f>
        <v>0.90214364797490654</v>
      </c>
      <c r="GO36" s="136"/>
      <c r="GP36" s="21">
        <v>797080</v>
      </c>
      <c r="GQ36" s="585">
        <v>863024</v>
      </c>
      <c r="GR36" s="75"/>
      <c r="GS36" s="22">
        <f t="shared" si="158"/>
        <v>53939</v>
      </c>
      <c r="GT36" s="39">
        <f t="shared" si="159"/>
        <v>65944</v>
      </c>
      <c r="GU36" s="21">
        <f>290632+1273512</f>
        <v>1564144</v>
      </c>
      <c r="GV36" s="585">
        <f>GW36+GX36</f>
        <v>1596953.37</v>
      </c>
      <c r="GW36" s="587">
        <v>242605.3</v>
      </c>
      <c r="GX36" s="587">
        <v>1354348.07</v>
      </c>
      <c r="GY36" s="39">
        <f t="shared" si="161"/>
        <v>32809.370000000112</v>
      </c>
      <c r="GZ36" s="888">
        <f t="shared" si="162"/>
        <v>99809.585625000007</v>
      </c>
      <c r="HA36" s="585"/>
      <c r="HB36" s="21">
        <v>320000</v>
      </c>
      <c r="HC36" s="585">
        <f>144000*0+320000</f>
        <v>320000</v>
      </c>
      <c r="HD36" s="75">
        <v>0</v>
      </c>
      <c r="HE36" s="41">
        <f t="shared" si="163"/>
        <v>0.1148999212529799</v>
      </c>
      <c r="HF36" s="95"/>
      <c r="HG36" s="585">
        <v>5055</v>
      </c>
      <c r="HH36" s="20">
        <f t="shared" si="164"/>
        <v>0</v>
      </c>
      <c r="HI36" s="49">
        <f t="shared" si="165"/>
        <v>20000</v>
      </c>
      <c r="HJ36" s="84">
        <f t="shared" si="166"/>
        <v>73939</v>
      </c>
      <c r="HK36" s="23">
        <f t="shared" si="167"/>
        <v>0</v>
      </c>
      <c r="HL36" s="50">
        <v>5.07</v>
      </c>
      <c r="HM36" s="50">
        <v>5.07</v>
      </c>
      <c r="HN36" s="40">
        <v>0</v>
      </c>
      <c r="HO36" s="40">
        <v>0</v>
      </c>
      <c r="HP36" s="22">
        <f t="shared" si="168"/>
        <v>73939</v>
      </c>
      <c r="HQ36" s="40">
        <v>0</v>
      </c>
      <c r="HR36" s="22">
        <f t="shared" si="169"/>
        <v>73939</v>
      </c>
      <c r="HS36" s="53">
        <f t="shared" si="170"/>
        <v>0.42477926387620407</v>
      </c>
      <c r="HT36" s="40">
        <v>0</v>
      </c>
      <c r="HU36" s="40"/>
      <c r="HV36" s="590">
        <v>0</v>
      </c>
      <c r="HW36" s="42">
        <f t="shared" si="171"/>
        <v>2785032.37</v>
      </c>
      <c r="HX36" s="293">
        <v>143972</v>
      </c>
      <c r="HY36" s="293">
        <f t="shared" si="172"/>
        <v>129574</v>
      </c>
      <c r="HZ36" s="118">
        <v>41641</v>
      </c>
      <c r="IA36" s="243">
        <v>14192</v>
      </c>
      <c r="IB36" s="243"/>
      <c r="IC36" s="118"/>
      <c r="ID36" s="118">
        <v>41696</v>
      </c>
      <c r="IE36" s="243">
        <v>7096</v>
      </c>
      <c r="IF36" s="118"/>
      <c r="IG36" s="243"/>
      <c r="IH36" s="118">
        <v>41827</v>
      </c>
      <c r="II36" s="243">
        <v>27458</v>
      </c>
      <c r="IJ36" s="119">
        <v>41933</v>
      </c>
      <c r="IK36" s="403">
        <v>20852</v>
      </c>
      <c r="IL36" s="338"/>
      <c r="IM36" s="338"/>
      <c r="IN36" s="126">
        <v>42564</v>
      </c>
      <c r="IO36" s="243"/>
      <c r="IP36" s="126">
        <v>42564</v>
      </c>
      <c r="IQ36" s="243"/>
      <c r="IR36" s="126">
        <v>42564</v>
      </c>
      <c r="IS36" s="243">
        <v>30071</v>
      </c>
      <c r="IT36" s="126">
        <v>42660</v>
      </c>
      <c r="IU36" s="243">
        <v>8517</v>
      </c>
      <c r="IV36" s="126">
        <v>42822</v>
      </c>
      <c r="IW36" s="243">
        <v>6635</v>
      </c>
      <c r="IX36" s="250">
        <v>42902</v>
      </c>
      <c r="IY36" s="243">
        <v>7555</v>
      </c>
      <c r="IZ36" s="250">
        <v>42921</v>
      </c>
      <c r="JA36" s="243">
        <v>7198</v>
      </c>
      <c r="JB36" s="243"/>
      <c r="JC36" s="126"/>
      <c r="JD36" s="119"/>
      <c r="JE36" s="126"/>
      <c r="JF36" s="126"/>
      <c r="JG36" s="119"/>
    </row>
    <row r="37" spans="1:267" ht="24.95" customHeight="1">
      <c r="A37" s="927" t="s">
        <v>241</v>
      </c>
      <c r="B37" s="8" t="s">
        <v>35</v>
      </c>
      <c r="C37" s="8" t="s">
        <v>113</v>
      </c>
      <c r="D37" s="8">
        <v>2014</v>
      </c>
      <c r="E37" s="8" t="s">
        <v>346</v>
      </c>
      <c r="F37" s="8" t="s">
        <v>58</v>
      </c>
      <c r="G37" s="8" t="s">
        <v>725</v>
      </c>
      <c r="H37" s="8" t="s">
        <v>177</v>
      </c>
      <c r="I37" s="56"/>
      <c r="J37" s="56"/>
      <c r="K37" s="272"/>
      <c r="L37" s="171"/>
      <c r="M37" s="108"/>
      <c r="N37" s="109"/>
      <c r="O37" s="223">
        <v>3512</v>
      </c>
      <c r="P37" s="223">
        <f>Q37</f>
        <v>977347</v>
      </c>
      <c r="Q37" s="223">
        <v>977347</v>
      </c>
      <c r="R37" s="217">
        <f t="shared" si="180"/>
        <v>19546.939999999999</v>
      </c>
      <c r="S37" s="223">
        <f t="shared" si="177"/>
        <v>278.28787015945329</v>
      </c>
      <c r="T37" s="223">
        <f t="shared" si="178"/>
        <v>278.28787015945329</v>
      </c>
      <c r="U37" s="223">
        <f t="shared" si="181"/>
        <v>217.55371245915362</v>
      </c>
      <c r="V37" s="223">
        <f t="shared" si="182"/>
        <v>19546.939999999999</v>
      </c>
      <c r="W37" s="217">
        <f t="shared" si="183"/>
        <v>70.239999999999995</v>
      </c>
      <c r="X37" s="227"/>
      <c r="Y37" s="228">
        <f t="shared" si="184"/>
        <v>1.2791685649202733</v>
      </c>
      <c r="Z37" s="227" t="s">
        <v>198</v>
      </c>
      <c r="AA37" s="220"/>
      <c r="AB37" s="221"/>
      <c r="AC37" s="8" t="s">
        <v>16</v>
      </c>
      <c r="AD37" s="342">
        <f t="shared" si="120"/>
        <v>50</v>
      </c>
      <c r="AE37" s="9"/>
      <c r="AF37" s="8">
        <v>50</v>
      </c>
      <c r="AG37" s="56"/>
      <c r="AH37" s="56"/>
      <c r="AI37" s="10">
        <v>4457.88</v>
      </c>
      <c r="AJ37" s="85">
        <v>4492.4399999999996</v>
      </c>
      <c r="AK37" s="10">
        <f t="shared" si="121"/>
        <v>89.848799999999997</v>
      </c>
      <c r="AL37" s="62"/>
      <c r="AM37" s="62"/>
      <c r="AN37" s="62"/>
      <c r="AO37" s="62"/>
      <c r="AP37" s="62"/>
      <c r="AQ37" s="10"/>
      <c r="AR37" s="79">
        <v>0</v>
      </c>
      <c r="AS37" s="81">
        <f t="shared" si="122"/>
        <v>0</v>
      </c>
      <c r="AT37" s="60">
        <v>4</v>
      </c>
      <c r="AU37" s="59" t="s">
        <v>626</v>
      </c>
      <c r="AV37" s="8" t="s">
        <v>121</v>
      </c>
      <c r="AW37" s="200">
        <v>41591</v>
      </c>
      <c r="AX37" s="56"/>
      <c r="AY37" s="112" t="s">
        <v>12</v>
      </c>
      <c r="AZ37" s="112" t="s">
        <v>254</v>
      </c>
      <c r="BA37" s="559" t="s">
        <v>172</v>
      </c>
      <c r="BB37" s="214">
        <v>41848</v>
      </c>
      <c r="BC37" s="101"/>
      <c r="BD37" s="101">
        <v>41962</v>
      </c>
      <c r="BE37" s="214">
        <v>42195</v>
      </c>
      <c r="BF37" s="101"/>
      <c r="BG37" s="169">
        <v>42228</v>
      </c>
      <c r="BH37" s="212">
        <v>42250</v>
      </c>
      <c r="BI37" s="170">
        <v>42328</v>
      </c>
      <c r="BJ37" s="170">
        <v>42264</v>
      </c>
      <c r="BK37" s="320">
        <v>42325</v>
      </c>
      <c r="BL37" s="319">
        <f t="shared" si="123"/>
        <v>43056</v>
      </c>
      <c r="BM37" s="319">
        <f t="shared" si="124"/>
        <v>43421</v>
      </c>
      <c r="BN37" s="319" t="str">
        <f t="shared" si="125"/>
        <v>oui</v>
      </c>
      <c r="BO37" s="170" t="s">
        <v>129</v>
      </c>
      <c r="BP37" s="37" t="s">
        <v>383</v>
      </c>
      <c r="BQ37" s="102"/>
      <c r="BR37" s="103">
        <v>42401</v>
      </c>
      <c r="BS37" s="103">
        <v>42410</v>
      </c>
      <c r="BT37" s="103">
        <v>42360</v>
      </c>
      <c r="BU37" s="165" t="s">
        <v>72</v>
      </c>
      <c r="BV37" s="330">
        <v>42333</v>
      </c>
      <c r="BW37" s="517" t="s">
        <v>402</v>
      </c>
      <c r="BX37" s="759">
        <v>8009024.4900000002</v>
      </c>
      <c r="BY37" s="760">
        <f>DATE(YEAR(BV37),MONTH(BV37)+18,DAY(BV37))</f>
        <v>42880</v>
      </c>
      <c r="BZ37" s="760">
        <f t="shared" si="185"/>
        <v>43064</v>
      </c>
      <c r="CA37" s="441">
        <v>42636</v>
      </c>
      <c r="CB37" s="266">
        <v>43157</v>
      </c>
      <c r="CC37" s="780">
        <f t="shared" si="179"/>
        <v>1.6666666666666667</v>
      </c>
      <c r="CD37" s="81"/>
      <c r="CE37" s="448">
        <v>42348</v>
      </c>
      <c r="CF37" s="444">
        <v>2015</v>
      </c>
      <c r="CG37" s="602">
        <f t="shared" si="127"/>
        <v>16.666666666666668</v>
      </c>
      <c r="CH37" s="258">
        <v>24</v>
      </c>
      <c r="CI37" s="258">
        <f t="shared" si="176"/>
        <v>25</v>
      </c>
      <c r="CJ37" s="255">
        <f t="shared" si="128"/>
        <v>27</v>
      </c>
      <c r="CK37" s="255">
        <f t="shared" si="129"/>
        <v>28</v>
      </c>
      <c r="CL37" s="255">
        <f t="shared" si="130"/>
        <v>3</v>
      </c>
      <c r="CM37" s="255">
        <f t="shared" si="131"/>
        <v>3</v>
      </c>
      <c r="CN37" s="246">
        <f>279622.113674809/12</f>
        <v>23301.842806234083</v>
      </c>
      <c r="CO37" s="245">
        <f t="shared" si="132"/>
        <v>69905.528418702248</v>
      </c>
      <c r="CP37" s="340">
        <v>43017</v>
      </c>
      <c r="CQ37" s="796">
        <f t="shared" si="133"/>
        <v>43079</v>
      </c>
      <c r="CR37" s="513">
        <v>43189</v>
      </c>
      <c r="CS37" s="752">
        <f t="shared" si="134"/>
        <v>43366</v>
      </c>
      <c r="CT37" s="132"/>
      <c r="CU37" s="872" t="e">
        <f t="shared" si="135"/>
        <v>#NUM!</v>
      </c>
      <c r="CV37" s="132"/>
      <c r="CW37" s="860">
        <v>43189</v>
      </c>
      <c r="CX37" s="612">
        <v>43207</v>
      </c>
      <c r="CY37" s="753"/>
      <c r="CZ37" s="289" t="s">
        <v>775</v>
      </c>
      <c r="DA37" s="125"/>
      <c r="DB37" s="125"/>
      <c r="DC37" s="125"/>
      <c r="DD37" s="125"/>
      <c r="DE37" s="125"/>
      <c r="DF37" s="56"/>
      <c r="DG37" s="296">
        <f t="shared" si="174"/>
        <v>43554</v>
      </c>
      <c r="DH37" s="56"/>
      <c r="DI37" s="56"/>
      <c r="DJ37" s="56"/>
      <c r="DK37" s="56"/>
      <c r="DL37" s="56"/>
      <c r="DM37" s="56"/>
      <c r="DN37" s="56"/>
      <c r="DO37" s="194"/>
      <c r="DP37" s="56"/>
      <c r="DQ37" s="56"/>
      <c r="DR37" s="56"/>
      <c r="DS37" s="56"/>
      <c r="DT37" s="126"/>
      <c r="DU37" s="126"/>
      <c r="DV37" s="126"/>
      <c r="DW37" s="721" t="str">
        <f t="shared" si="136"/>
        <v>0</v>
      </c>
      <c r="DX37" s="126">
        <v>41676</v>
      </c>
      <c r="DY37" s="126">
        <v>40946</v>
      </c>
      <c r="DZ37" s="721">
        <f t="shared" si="137"/>
        <v>-730</v>
      </c>
      <c r="EA37" s="126"/>
      <c r="EB37" s="126"/>
      <c r="EC37" s="721" t="str">
        <f t="shared" si="138"/>
        <v>0</v>
      </c>
      <c r="ED37" s="126"/>
      <c r="EE37" s="126"/>
      <c r="EF37" s="721" t="str">
        <f t="shared" si="139"/>
        <v>0</v>
      </c>
      <c r="EG37" s="126"/>
      <c r="EH37" s="126"/>
      <c r="EI37" s="721" t="str">
        <f t="shared" si="140"/>
        <v>0</v>
      </c>
      <c r="EJ37" s="126"/>
      <c r="EK37" s="126"/>
      <c r="EL37" s="126"/>
      <c r="EM37" s="721" t="str">
        <f t="shared" si="141"/>
        <v>0</v>
      </c>
      <c r="EN37" s="126">
        <v>42349</v>
      </c>
      <c r="EO37" s="126">
        <v>42348</v>
      </c>
      <c r="EP37" s="691">
        <f t="shared" si="142"/>
        <v>-1</v>
      </c>
      <c r="EQ37" s="126"/>
      <c r="ER37" s="126"/>
      <c r="ES37" s="691" t="str">
        <f t="shared" si="143"/>
        <v>0</v>
      </c>
      <c r="ET37" s="693"/>
      <c r="EU37" s="692">
        <v>42606</v>
      </c>
      <c r="EV37" s="694" t="str">
        <f t="shared" si="144"/>
        <v>0</v>
      </c>
      <c r="EW37" s="693"/>
      <c r="EX37" s="693"/>
      <c r="EY37" s="691" t="str">
        <f t="shared" si="145"/>
        <v>0</v>
      </c>
      <c r="EZ37" s="126"/>
      <c r="FA37" s="126">
        <v>42929</v>
      </c>
      <c r="FB37" s="691" t="str">
        <f t="shared" si="146"/>
        <v>0</v>
      </c>
      <c r="FC37" s="126"/>
      <c r="FD37" s="126">
        <v>43034</v>
      </c>
      <c r="FE37" s="691" t="str">
        <f t="shared" si="147"/>
        <v>0</v>
      </c>
      <c r="FF37" s="126"/>
      <c r="FG37" s="126"/>
      <c r="FH37" s="691" t="str">
        <f t="shared" si="148"/>
        <v>0</v>
      </c>
      <c r="FI37" s="701"/>
      <c r="FJ37" s="701">
        <v>43052</v>
      </c>
      <c r="FK37" s="697" t="str">
        <f t="shared" si="149"/>
        <v>0</v>
      </c>
      <c r="FL37" s="701"/>
      <c r="FM37" s="701"/>
      <c r="FN37" s="701"/>
      <c r="FO37" s="701">
        <v>43336</v>
      </c>
      <c r="FP37" s="701">
        <f t="shared" ref="FP37:FP48" si="187">CR37</f>
        <v>43189</v>
      </c>
      <c r="FQ37" s="699">
        <f t="shared" si="150"/>
        <v>32.93333333333333</v>
      </c>
      <c r="FR37" s="701">
        <v>43367</v>
      </c>
      <c r="FS37" s="701">
        <f t="shared" ref="FS37:FS48" si="188">CX37</f>
        <v>43207</v>
      </c>
      <c r="FT37" s="727">
        <v>119075</v>
      </c>
      <c r="FU37" s="727">
        <v>119605.73</v>
      </c>
      <c r="FV37" s="727"/>
      <c r="FW37" s="727"/>
      <c r="FX37" s="728">
        <f t="shared" si="151"/>
        <v>-24.366666666666667</v>
      </c>
      <c r="FY37" s="728">
        <f t="shared" si="152"/>
        <v>-5.333333333333333</v>
      </c>
      <c r="FZ37" s="840" t="s">
        <v>834</v>
      </c>
      <c r="GA37" s="840"/>
      <c r="GB37" s="840" t="s">
        <v>835</v>
      </c>
      <c r="GC37" s="841" t="s">
        <v>836</v>
      </c>
      <c r="GD37" s="113"/>
      <c r="GE37" s="117"/>
      <c r="GF37" s="11">
        <f>+GP37+GU37+HB37+HV37</f>
        <v>8981049.6050000004</v>
      </c>
      <c r="GG37" s="12">
        <f t="shared" ref="GG37:GG48" si="189">GQ37+GV37+HC37+HV37+HD37+HG37</f>
        <v>8889855.6449999996</v>
      </c>
      <c r="GH37" s="13">
        <f t="shared" si="153"/>
        <v>-91193.960000000894</v>
      </c>
      <c r="GI37" s="52">
        <f t="shared" si="154"/>
        <v>1994.1890865164605</v>
      </c>
      <c r="GJ37" s="52">
        <f t="shared" si="155"/>
        <v>177797.11289999998</v>
      </c>
      <c r="GK37" s="11">
        <v>8046979</v>
      </c>
      <c r="GL37" s="12">
        <v>7435240.3190134894</v>
      </c>
      <c r="GM37" s="13">
        <f t="shared" si="156"/>
        <v>-611738.68098651059</v>
      </c>
      <c r="GN37" s="135">
        <f t="shared" si="186"/>
        <v>0.85393741685585856</v>
      </c>
      <c r="GO37" s="136"/>
      <c r="GP37" s="11">
        <v>2663620</v>
      </c>
      <c r="GQ37" s="12">
        <v>2572426.04</v>
      </c>
      <c r="GR37" s="70"/>
      <c r="GS37" s="22">
        <f t="shared" si="158"/>
        <v>51448.520799999998</v>
      </c>
      <c r="GT37" s="38">
        <f t="shared" si="159"/>
        <v>-91193.959999999963</v>
      </c>
      <c r="GU37" s="11">
        <f>GV37</f>
        <v>5272823.875</v>
      </c>
      <c r="GV37" s="12">
        <f>GW37+GX37</f>
        <v>5272823.875</v>
      </c>
      <c r="GW37" s="14">
        <v>1076863.6000000001</v>
      </c>
      <c r="GX37" s="14">
        <v>4195960.2750000004</v>
      </c>
      <c r="GY37" s="38">
        <f t="shared" si="161"/>
        <v>0</v>
      </c>
      <c r="GZ37" s="888">
        <f t="shared" si="162"/>
        <v>105456.47749999999</v>
      </c>
      <c r="HA37" s="12"/>
      <c r="HB37" s="11">
        <v>925000</v>
      </c>
      <c r="HC37" s="12">
        <f>HB37</f>
        <v>925000</v>
      </c>
      <c r="HD37" s="70">
        <v>0</v>
      </c>
      <c r="HE37" s="41">
        <f t="shared" si="163"/>
        <v>0.10405118338679166</v>
      </c>
      <c r="HF37" s="326"/>
      <c r="HG37" s="12">
        <v>0</v>
      </c>
      <c r="HH37" s="23">
        <f t="shared" si="164"/>
        <v>0</v>
      </c>
      <c r="HI37" s="49">
        <f t="shared" si="165"/>
        <v>18500</v>
      </c>
      <c r="HJ37" s="84">
        <f t="shared" si="166"/>
        <v>69948.520799999998</v>
      </c>
      <c r="HK37" s="23">
        <f t="shared" si="167"/>
        <v>0</v>
      </c>
      <c r="HL37" s="50">
        <v>4.9400000000000004</v>
      </c>
      <c r="HM37" s="50">
        <v>4.93</v>
      </c>
      <c r="HN37" s="40"/>
      <c r="HO37" s="40">
        <v>0</v>
      </c>
      <c r="HP37" s="22">
        <f t="shared" si="168"/>
        <v>69948.520799999998</v>
      </c>
      <c r="HQ37" s="40"/>
      <c r="HR37" s="22">
        <f t="shared" si="169"/>
        <v>69948.520799999998</v>
      </c>
      <c r="HS37" s="53">
        <f t="shared" si="170"/>
        <v>0.39341764137273572</v>
      </c>
      <c r="HT37" s="40"/>
      <c r="HU37" s="40"/>
      <c r="HV37" s="12">
        <v>119605.73</v>
      </c>
      <c r="HW37" s="42">
        <f t="shared" si="171"/>
        <v>8889855.6449999996</v>
      </c>
      <c r="HX37" s="293"/>
      <c r="HY37" s="293">
        <f t="shared" si="172"/>
        <v>0</v>
      </c>
      <c r="HZ37" s="118"/>
      <c r="IA37" s="243"/>
      <c r="IB37" s="126"/>
      <c r="IC37" s="118"/>
      <c r="ID37" s="118"/>
      <c r="IE37" s="243"/>
      <c r="IF37" s="118"/>
      <c r="IG37" s="243"/>
      <c r="IH37" s="133"/>
      <c r="II37" s="243"/>
      <c r="IJ37" s="126"/>
      <c r="IK37" s="403"/>
      <c r="IL37" s="338"/>
      <c r="IM37" s="338"/>
      <c r="IN37" s="126"/>
      <c r="IO37" s="243"/>
      <c r="IP37" s="126"/>
      <c r="IQ37" s="243"/>
      <c r="IR37" s="119"/>
      <c r="IS37" s="119"/>
      <c r="IT37" s="323"/>
      <c r="IU37" s="323"/>
      <c r="IV37" s="286"/>
      <c r="IW37" s="286"/>
      <c r="IX37" s="286"/>
      <c r="IY37" s="286"/>
      <c r="IZ37" s="286"/>
      <c r="JA37" s="286"/>
      <c r="JB37" s="243"/>
      <c r="JC37" s="126"/>
      <c r="JD37" s="119"/>
      <c r="JE37" s="126"/>
      <c r="JF37" s="126"/>
      <c r="JG37" s="119"/>
    </row>
    <row r="38" spans="1:267" ht="24.95" customHeight="1">
      <c r="A38" s="926" t="s">
        <v>290</v>
      </c>
      <c r="B38" s="19" t="s">
        <v>40</v>
      </c>
      <c r="C38" s="19" t="s">
        <v>115</v>
      </c>
      <c r="D38" s="19">
        <v>2014</v>
      </c>
      <c r="E38" s="19" t="s">
        <v>166</v>
      </c>
      <c r="F38" s="19" t="s">
        <v>423</v>
      </c>
      <c r="G38" s="19" t="s">
        <v>185</v>
      </c>
      <c r="H38" s="8" t="s">
        <v>177</v>
      </c>
      <c r="I38" s="57" t="s">
        <v>121</v>
      </c>
      <c r="J38" s="57"/>
      <c r="K38" s="216"/>
      <c r="L38" s="171" t="s">
        <v>64</v>
      </c>
      <c r="M38" s="108" t="s">
        <v>139</v>
      </c>
      <c r="N38" s="109">
        <v>41407</v>
      </c>
      <c r="O38" s="222">
        <v>1492</v>
      </c>
      <c r="P38" s="222">
        <v>325000</v>
      </c>
      <c r="Q38" s="222">
        <v>85500</v>
      </c>
      <c r="R38" s="217">
        <f t="shared" si="180"/>
        <v>36111.111111111109</v>
      </c>
      <c r="S38" s="222">
        <f t="shared" si="177"/>
        <v>217.82841823056302</v>
      </c>
      <c r="T38" s="223">
        <f t="shared" si="178"/>
        <v>57.305630026809652</v>
      </c>
      <c r="U38" s="223">
        <f t="shared" si="181"/>
        <v>103.33949744370717</v>
      </c>
      <c r="V38" s="223">
        <f t="shared" si="182"/>
        <v>9500</v>
      </c>
      <c r="W38" s="217">
        <f t="shared" si="183"/>
        <v>165.77777777777777</v>
      </c>
      <c r="X38" s="224"/>
      <c r="Y38" s="225">
        <f t="shared" si="184"/>
        <v>0.55453753351206436</v>
      </c>
      <c r="Z38" s="224" t="s">
        <v>198</v>
      </c>
      <c r="AA38" s="568">
        <v>30</v>
      </c>
      <c r="AB38" s="569"/>
      <c r="AC38" s="19" t="s">
        <v>15</v>
      </c>
      <c r="AD38" s="342">
        <f t="shared" si="120"/>
        <v>9</v>
      </c>
      <c r="AE38" s="19">
        <v>9</v>
      </c>
      <c r="AF38" s="55"/>
      <c r="AG38" s="274"/>
      <c r="AH38" s="274"/>
      <c r="AI38" s="572">
        <v>858.51</v>
      </c>
      <c r="AJ38" s="573">
        <v>827.37</v>
      </c>
      <c r="AK38" s="10">
        <f t="shared" si="121"/>
        <v>91.93</v>
      </c>
      <c r="AL38" s="63">
        <v>0</v>
      </c>
      <c r="AM38" s="63">
        <v>0</v>
      </c>
      <c r="AN38" s="63">
        <v>0</v>
      </c>
      <c r="AO38" s="82">
        <f>8/AD38</f>
        <v>0.88888888888888884</v>
      </c>
      <c r="AP38" s="82">
        <f>1/AD38</f>
        <v>0.1111111111111111</v>
      </c>
      <c r="AQ38" s="572"/>
      <c r="AR38" s="80">
        <v>0</v>
      </c>
      <c r="AS38" s="82">
        <f t="shared" si="122"/>
        <v>0</v>
      </c>
      <c r="AT38" s="61">
        <v>2</v>
      </c>
      <c r="AU38" s="57" t="s">
        <v>625</v>
      </c>
      <c r="AV38" s="19" t="s">
        <v>122</v>
      </c>
      <c r="AW38" s="200">
        <v>41591</v>
      </c>
      <c r="AX38" s="200">
        <v>41773</v>
      </c>
      <c r="AY38" s="112" t="s">
        <v>256</v>
      </c>
      <c r="AZ38" s="112" t="s">
        <v>412</v>
      </c>
      <c r="BA38" s="576"/>
      <c r="BB38" s="214">
        <v>41800</v>
      </c>
      <c r="BC38" s="101"/>
      <c r="BD38" s="101">
        <v>41820</v>
      </c>
      <c r="BE38" s="214">
        <v>41963</v>
      </c>
      <c r="BF38" s="101"/>
      <c r="BG38" s="169">
        <v>42054</v>
      </c>
      <c r="BH38" s="212">
        <v>42059</v>
      </c>
      <c r="BI38" s="170">
        <v>42147</v>
      </c>
      <c r="BJ38" s="170">
        <v>42074</v>
      </c>
      <c r="BK38" s="320">
        <v>42146</v>
      </c>
      <c r="BL38" s="319">
        <f t="shared" si="123"/>
        <v>42877</v>
      </c>
      <c r="BM38" s="319">
        <f t="shared" si="124"/>
        <v>43242</v>
      </c>
      <c r="BN38" s="319" t="str">
        <f t="shared" si="125"/>
        <v>oui</v>
      </c>
      <c r="BO38" s="174" t="s">
        <v>129</v>
      </c>
      <c r="BP38" s="37" t="s">
        <v>291</v>
      </c>
      <c r="BQ38" s="198" t="s">
        <v>344</v>
      </c>
      <c r="BR38" s="103"/>
      <c r="BS38" s="103"/>
      <c r="BT38" s="103"/>
      <c r="BU38" s="165" t="s">
        <v>150</v>
      </c>
      <c r="BV38" s="330">
        <v>42478</v>
      </c>
      <c r="BW38" s="266">
        <v>42548</v>
      </c>
      <c r="BX38" s="166">
        <v>1734390.06</v>
      </c>
      <c r="BY38" s="330">
        <v>42522</v>
      </c>
      <c r="BZ38" s="441">
        <f t="shared" si="185"/>
        <v>43208</v>
      </c>
      <c r="CA38" s="330">
        <v>42614</v>
      </c>
      <c r="CB38" s="273">
        <v>43131</v>
      </c>
      <c r="CC38" s="780">
        <f t="shared" si="179"/>
        <v>2.9666666666666668</v>
      </c>
      <c r="CD38" s="616"/>
      <c r="CE38" s="448">
        <v>42500</v>
      </c>
      <c r="CF38" s="444">
        <v>2016</v>
      </c>
      <c r="CG38" s="602">
        <f t="shared" si="127"/>
        <v>23.333333333333332</v>
      </c>
      <c r="CH38" s="121">
        <v>13</v>
      </c>
      <c r="CI38" s="130">
        <f t="shared" si="176"/>
        <v>14</v>
      </c>
      <c r="CJ38" s="255">
        <f t="shared" si="128"/>
        <v>22</v>
      </c>
      <c r="CK38" s="255">
        <f t="shared" si="129"/>
        <v>23</v>
      </c>
      <c r="CL38" s="255">
        <f t="shared" si="130"/>
        <v>9</v>
      </c>
      <c r="CM38" s="255">
        <f t="shared" si="131"/>
        <v>9</v>
      </c>
      <c r="CN38" s="246">
        <f>64366.3774204337/12</f>
        <v>5363.8647850361422</v>
      </c>
      <c r="CO38" s="245">
        <f t="shared" si="132"/>
        <v>48274.783065325282</v>
      </c>
      <c r="CP38" s="248" t="s">
        <v>129</v>
      </c>
      <c r="CQ38" s="751">
        <f t="shared" si="133"/>
        <v>42896</v>
      </c>
      <c r="CR38" s="513">
        <v>43171</v>
      </c>
      <c r="CS38" s="626">
        <f t="shared" si="134"/>
        <v>43344</v>
      </c>
      <c r="CT38" s="129"/>
      <c r="CU38" s="915" t="e">
        <f t="shared" si="135"/>
        <v>#NUM!</v>
      </c>
      <c r="CV38" s="129"/>
      <c r="CW38" s="626">
        <v>43205</v>
      </c>
      <c r="CX38" s="787">
        <v>43220</v>
      </c>
      <c r="CY38" s="788"/>
      <c r="CZ38" s="122">
        <v>43167</v>
      </c>
      <c r="DA38" s="127"/>
      <c r="DB38" s="127"/>
      <c r="DC38" s="127"/>
      <c r="DD38" s="127"/>
      <c r="DE38" s="127"/>
      <c r="DF38" s="57"/>
      <c r="DG38" s="296">
        <f t="shared" si="174"/>
        <v>43536</v>
      </c>
      <c r="DH38" s="57"/>
      <c r="DI38" s="57"/>
      <c r="DJ38" s="57"/>
      <c r="DK38" s="57"/>
      <c r="DL38" s="57"/>
      <c r="DM38" s="57"/>
      <c r="DN38" s="57"/>
      <c r="DO38" s="194"/>
      <c r="DP38" s="57"/>
      <c r="DQ38" s="57"/>
      <c r="DR38" s="57"/>
      <c r="DS38" s="57"/>
      <c r="DT38" s="126">
        <v>41548</v>
      </c>
      <c r="DU38" s="126">
        <v>41549</v>
      </c>
      <c r="DV38" s="126">
        <v>41555</v>
      </c>
      <c r="DW38" s="721">
        <f t="shared" si="136"/>
        <v>6</v>
      </c>
      <c r="DX38" s="126">
        <v>41676</v>
      </c>
      <c r="DY38" s="126">
        <v>41676</v>
      </c>
      <c r="DZ38" s="721">
        <f t="shared" si="137"/>
        <v>0</v>
      </c>
      <c r="EA38" s="126">
        <v>41684</v>
      </c>
      <c r="EB38" s="126">
        <v>41688</v>
      </c>
      <c r="EC38" s="721">
        <f t="shared" si="138"/>
        <v>4</v>
      </c>
      <c r="ED38" s="126">
        <v>41773</v>
      </c>
      <c r="EE38" s="126">
        <v>41801</v>
      </c>
      <c r="EF38" s="721">
        <f t="shared" si="139"/>
        <v>28</v>
      </c>
      <c r="EG38" s="126">
        <v>41946</v>
      </c>
      <c r="EH38" s="126">
        <v>41946</v>
      </c>
      <c r="EI38" s="721">
        <f t="shared" si="140"/>
        <v>0</v>
      </c>
      <c r="EJ38" s="126">
        <v>42146</v>
      </c>
      <c r="EK38" s="126">
        <v>42158</v>
      </c>
      <c r="EL38" s="126">
        <v>42500</v>
      </c>
      <c r="EM38" s="721">
        <f t="shared" si="141"/>
        <v>342</v>
      </c>
      <c r="EN38" s="126">
        <v>42083</v>
      </c>
      <c r="EO38" s="126">
        <v>42500</v>
      </c>
      <c r="EP38" s="691">
        <f t="shared" si="142"/>
        <v>417</v>
      </c>
      <c r="EQ38" s="126">
        <v>42552</v>
      </c>
      <c r="ER38" s="126">
        <v>42906</v>
      </c>
      <c r="ES38" s="691">
        <f t="shared" si="143"/>
        <v>354</v>
      </c>
      <c r="ET38" s="693">
        <v>42615</v>
      </c>
      <c r="EU38" s="692">
        <v>42604</v>
      </c>
      <c r="EV38" s="694">
        <f t="shared" si="144"/>
        <v>-11</v>
      </c>
      <c r="EW38" s="693">
        <v>42705</v>
      </c>
      <c r="EX38" s="693">
        <v>42906</v>
      </c>
      <c r="EY38" s="691">
        <f t="shared" si="145"/>
        <v>201</v>
      </c>
      <c r="EZ38" s="126">
        <v>42775</v>
      </c>
      <c r="FA38" s="126">
        <v>43035</v>
      </c>
      <c r="FB38" s="691">
        <f t="shared" si="146"/>
        <v>260</v>
      </c>
      <c r="FC38" s="126">
        <v>42801</v>
      </c>
      <c r="FD38" s="126">
        <v>42979</v>
      </c>
      <c r="FE38" s="691">
        <f t="shared" si="147"/>
        <v>178</v>
      </c>
      <c r="FF38" s="126">
        <v>42818</v>
      </c>
      <c r="FG38" s="126">
        <v>43017</v>
      </c>
      <c r="FH38" s="691">
        <f t="shared" si="148"/>
        <v>199</v>
      </c>
      <c r="FI38" s="701">
        <v>42879</v>
      </c>
      <c r="FJ38" s="701">
        <v>43149</v>
      </c>
      <c r="FK38" s="697">
        <f t="shared" si="149"/>
        <v>270</v>
      </c>
      <c r="FL38" s="701">
        <v>43059</v>
      </c>
      <c r="FM38" s="701" t="s">
        <v>616</v>
      </c>
      <c r="FN38" s="701">
        <v>43069</v>
      </c>
      <c r="FO38" s="701">
        <v>42891</v>
      </c>
      <c r="FP38" s="701">
        <f t="shared" si="187"/>
        <v>43171</v>
      </c>
      <c r="FQ38" s="699">
        <f t="shared" si="150"/>
        <v>13.033333333333333</v>
      </c>
      <c r="FR38" s="701">
        <v>42921</v>
      </c>
      <c r="FS38" s="701">
        <f t="shared" si="188"/>
        <v>43220</v>
      </c>
      <c r="FT38" s="727">
        <v>0</v>
      </c>
      <c r="FU38" s="727">
        <v>59150</v>
      </c>
      <c r="FV38" s="727"/>
      <c r="FW38" s="727"/>
      <c r="FX38" s="728">
        <f t="shared" si="151"/>
        <v>26.566666666666666</v>
      </c>
      <c r="FY38" s="728">
        <f t="shared" si="152"/>
        <v>9.9666666666666668</v>
      </c>
      <c r="FZ38" s="725" t="s">
        <v>837</v>
      </c>
      <c r="GA38" s="725" t="s">
        <v>889</v>
      </c>
      <c r="GB38" s="725" t="s">
        <v>838</v>
      </c>
      <c r="GC38" s="726" t="s">
        <v>839</v>
      </c>
      <c r="GD38" s="113"/>
      <c r="GE38" s="117"/>
      <c r="GF38" s="21">
        <f>+GP38+GU38+HB38+HV38</f>
        <v>1603589</v>
      </c>
      <c r="GG38" s="585">
        <f t="shared" si="189"/>
        <v>1873322</v>
      </c>
      <c r="GH38" s="48">
        <f t="shared" si="153"/>
        <v>269733</v>
      </c>
      <c r="GI38" s="52">
        <f t="shared" si="154"/>
        <v>2182.0619445318052</v>
      </c>
      <c r="GJ38" s="52">
        <f t="shared" si="155"/>
        <v>208146.88888888888</v>
      </c>
      <c r="GK38" s="21">
        <v>1344547</v>
      </c>
      <c r="GL38" s="585">
        <v>1545657.7250008537</v>
      </c>
      <c r="GM38" s="48">
        <f t="shared" si="156"/>
        <v>201110.72500085365</v>
      </c>
      <c r="GN38" s="135">
        <f t="shared" si="186"/>
        <v>0.84241605939922304</v>
      </c>
      <c r="GO38" s="136"/>
      <c r="GP38" s="21">
        <v>478312</v>
      </c>
      <c r="GQ38" s="585">
        <v>614225</v>
      </c>
      <c r="GR38" s="75"/>
      <c r="GS38" s="22">
        <f t="shared" si="158"/>
        <v>68247.222222222219</v>
      </c>
      <c r="GT38" s="39">
        <f t="shared" si="159"/>
        <v>135913</v>
      </c>
      <c r="GU38" s="21">
        <v>980627</v>
      </c>
      <c r="GV38" s="585">
        <f>GW38+GX38</f>
        <v>1199946</v>
      </c>
      <c r="GW38" s="587">
        <v>270994</v>
      </c>
      <c r="GX38" s="587">
        <v>928952</v>
      </c>
      <c r="GY38" s="39">
        <f t="shared" si="161"/>
        <v>219319</v>
      </c>
      <c r="GZ38" s="888">
        <f t="shared" si="162"/>
        <v>133327.33333333334</v>
      </c>
      <c r="HA38" s="585">
        <v>0</v>
      </c>
      <c r="HB38" s="21">
        <v>85500</v>
      </c>
      <c r="HC38" s="585">
        <v>1</v>
      </c>
      <c r="HD38" s="75">
        <v>0</v>
      </c>
      <c r="HE38" s="41">
        <f t="shared" si="163"/>
        <v>5.3381105864341529E-7</v>
      </c>
      <c r="HF38" s="326"/>
      <c r="HG38" s="585">
        <v>0</v>
      </c>
      <c r="HH38" s="20">
        <f t="shared" si="164"/>
        <v>-85499</v>
      </c>
      <c r="HI38" s="49">
        <f t="shared" si="165"/>
        <v>0.1111111111111111</v>
      </c>
      <c r="HJ38" s="84">
        <f t="shared" si="166"/>
        <v>68247.333333333328</v>
      </c>
      <c r="HK38" s="23">
        <f>HH38/AD37</f>
        <v>-1709.98</v>
      </c>
      <c r="HL38" s="50">
        <v>5.7</v>
      </c>
      <c r="HM38" s="50">
        <v>5.59</v>
      </c>
      <c r="HN38" s="40">
        <v>0</v>
      </c>
      <c r="HO38" s="40">
        <v>0</v>
      </c>
      <c r="HP38" s="22" t="e">
        <f>(GQ38+HC38+HO38)/#REF!</f>
        <v>#REF!</v>
      </c>
      <c r="HQ38" s="40"/>
      <c r="HR38" s="22" t="e">
        <f>(GQ38+HC38+HO38+HQ38)/#REF!</f>
        <v>#REF!</v>
      </c>
      <c r="HS38" s="53">
        <f t="shared" si="170"/>
        <v>0.3278806313063104</v>
      </c>
      <c r="HT38" s="40"/>
      <c r="HU38" s="40"/>
      <c r="HV38" s="590">
        <v>59150</v>
      </c>
      <c r="HW38" s="42">
        <f t="shared" si="171"/>
        <v>1873322</v>
      </c>
      <c r="HX38" s="293">
        <v>91876</v>
      </c>
      <c r="HY38" s="293">
        <f>IA38+IE38+II38+IK38+IS38+IU38+JA38+JE38</f>
        <v>86406</v>
      </c>
      <c r="HZ38" s="118">
        <v>41324</v>
      </c>
      <c r="IA38" s="243">
        <v>7458</v>
      </c>
      <c r="IB38" s="126"/>
      <c r="IC38" s="118"/>
      <c r="ID38" s="118">
        <v>41681</v>
      </c>
      <c r="IE38" s="243">
        <v>5456</v>
      </c>
      <c r="IF38" s="118"/>
      <c r="IG38" s="243"/>
      <c r="IH38" s="118">
        <v>41773</v>
      </c>
      <c r="II38" s="243">
        <v>17627</v>
      </c>
      <c r="IJ38" s="126">
        <v>41946</v>
      </c>
      <c r="IK38" s="403">
        <v>13089</v>
      </c>
      <c r="IL38" s="338"/>
      <c r="IM38" s="338"/>
      <c r="IN38" s="126" t="s">
        <v>129</v>
      </c>
      <c r="IO38" s="243"/>
      <c r="IP38" s="126" t="s">
        <v>129</v>
      </c>
      <c r="IQ38" s="243"/>
      <c r="IR38" s="126">
        <v>42594</v>
      </c>
      <c r="IS38" s="243">
        <v>17699</v>
      </c>
      <c r="IT38" s="126">
        <v>42712</v>
      </c>
      <c r="IU38" s="243">
        <v>5451</v>
      </c>
      <c r="IV38" s="250">
        <v>42985</v>
      </c>
      <c r="IW38" s="309" t="s">
        <v>616</v>
      </c>
      <c r="IX38" s="250">
        <v>42985</v>
      </c>
      <c r="IY38" s="309"/>
      <c r="IZ38" s="250">
        <v>42985</v>
      </c>
      <c r="JA38" s="864">
        <v>15909</v>
      </c>
      <c r="JB38" s="250">
        <v>43167</v>
      </c>
      <c r="JC38" s="126"/>
      <c r="JD38" s="118">
        <v>43167</v>
      </c>
      <c r="JE38" s="864">
        <v>3717</v>
      </c>
      <c r="JF38" s="126"/>
      <c r="JG38" s="119"/>
    </row>
    <row r="39" spans="1:267" ht="24.95" customHeight="1">
      <c r="A39" s="929" t="s">
        <v>634</v>
      </c>
      <c r="B39" s="8" t="s">
        <v>272</v>
      </c>
      <c r="C39" s="8" t="s">
        <v>115</v>
      </c>
      <c r="D39" s="8">
        <v>2016</v>
      </c>
      <c r="E39" s="8" t="s">
        <v>635</v>
      </c>
      <c r="F39" s="8" t="s">
        <v>424</v>
      </c>
      <c r="G39" s="8" t="s">
        <v>185</v>
      </c>
      <c r="H39" s="8" t="s">
        <v>177</v>
      </c>
      <c r="I39" s="56"/>
      <c r="J39" s="56"/>
      <c r="K39" s="272"/>
      <c r="L39" s="171"/>
      <c r="M39" s="108"/>
      <c r="N39" s="109"/>
      <c r="O39" s="217">
        <v>807</v>
      </c>
      <c r="P39" s="217">
        <v>250272</v>
      </c>
      <c r="Q39" s="217">
        <v>250272</v>
      </c>
      <c r="R39" s="217">
        <f t="shared" si="180"/>
        <v>10881.391304347826</v>
      </c>
      <c r="S39" s="217">
        <f t="shared" si="177"/>
        <v>310.12639405204459</v>
      </c>
      <c r="T39" s="223">
        <f t="shared" si="178"/>
        <v>310.12639405204459</v>
      </c>
      <c r="U39" s="223">
        <f t="shared" si="181"/>
        <v>162.92583213441748</v>
      </c>
      <c r="V39" s="223">
        <f t="shared" si="182"/>
        <v>10881.391304347826</v>
      </c>
      <c r="W39" s="217">
        <f t="shared" si="183"/>
        <v>35.086956521739133</v>
      </c>
      <c r="X39" s="218"/>
      <c r="Y39" s="226">
        <f t="shared" si="184"/>
        <v>1.9034820322180916</v>
      </c>
      <c r="Z39" s="218"/>
      <c r="AA39" s="220"/>
      <c r="AB39" s="221"/>
      <c r="AC39" s="8" t="s">
        <v>16</v>
      </c>
      <c r="AD39" s="342">
        <f t="shared" si="120"/>
        <v>23</v>
      </c>
      <c r="AE39" s="9"/>
      <c r="AF39" s="8">
        <v>23</v>
      </c>
      <c r="AG39" s="56"/>
      <c r="AH39" s="56"/>
      <c r="AI39" s="10">
        <v>1536.11</v>
      </c>
      <c r="AJ39" s="237">
        <v>1536.11</v>
      </c>
      <c r="AK39" s="10">
        <f t="shared" si="121"/>
        <v>66.787391304347821</v>
      </c>
      <c r="AL39" s="81"/>
      <c r="AM39" s="81"/>
      <c r="AN39" s="81"/>
      <c r="AO39" s="81"/>
      <c r="AP39" s="81"/>
      <c r="AQ39" s="10"/>
      <c r="AR39" s="79"/>
      <c r="AS39" s="81"/>
      <c r="AT39" s="60"/>
      <c r="AU39" s="59" t="s">
        <v>626</v>
      </c>
      <c r="AV39" s="8"/>
      <c r="AW39" s="250"/>
      <c r="AX39" s="250"/>
      <c r="AY39" s="114" t="s">
        <v>11</v>
      </c>
      <c r="AZ39" s="112" t="s">
        <v>463</v>
      </c>
      <c r="BA39" s="36"/>
      <c r="BB39" s="214">
        <v>42543</v>
      </c>
      <c r="BC39" s="101"/>
      <c r="BD39" s="101">
        <v>42557</v>
      </c>
      <c r="BE39" s="214">
        <v>42606</v>
      </c>
      <c r="BF39" s="101" t="s">
        <v>129</v>
      </c>
      <c r="BG39" s="169"/>
      <c r="BH39" s="212">
        <v>42711</v>
      </c>
      <c r="BI39" s="170">
        <v>42711</v>
      </c>
      <c r="BJ39" s="170">
        <v>42654</v>
      </c>
      <c r="BK39" s="320">
        <f>BH39</f>
        <v>42711</v>
      </c>
      <c r="BL39" s="319"/>
      <c r="BM39" s="319"/>
      <c r="BN39" s="319"/>
      <c r="BO39" s="170"/>
      <c r="BP39" s="37" t="s">
        <v>653</v>
      </c>
      <c r="BQ39" s="460" t="s">
        <v>129</v>
      </c>
      <c r="BR39" s="483" t="s">
        <v>129</v>
      </c>
      <c r="BS39" s="483" t="s">
        <v>129</v>
      </c>
      <c r="BT39" s="483">
        <v>42922</v>
      </c>
      <c r="BU39" s="165"/>
      <c r="BV39" s="330">
        <v>42727</v>
      </c>
      <c r="BW39" s="441" t="s">
        <v>129</v>
      </c>
      <c r="BX39" s="759">
        <v>2912750</v>
      </c>
      <c r="BY39" s="330"/>
      <c r="BZ39" s="441">
        <f t="shared" si="185"/>
        <v>43457</v>
      </c>
      <c r="CA39" s="441">
        <v>42727</v>
      </c>
      <c r="CB39" s="273">
        <f>DATE(YEAR(BV39),MONTH(BV39)+22,DAY(BV39))</f>
        <v>43396</v>
      </c>
      <c r="CC39" s="780">
        <f t="shared" si="179"/>
        <v>-5.4</v>
      </c>
      <c r="CD39" s="618"/>
      <c r="CE39" s="451">
        <v>42583</v>
      </c>
      <c r="CF39" s="461">
        <v>2016</v>
      </c>
      <c r="CG39" s="604">
        <f t="shared" si="127"/>
        <v>1.3333333333333333</v>
      </c>
      <c r="CH39" s="258">
        <v>18</v>
      </c>
      <c r="CI39" s="260">
        <f t="shared" si="176"/>
        <v>19</v>
      </c>
      <c r="CJ39" s="255">
        <f t="shared" si="128"/>
        <v>20</v>
      </c>
      <c r="CK39" s="255">
        <f t="shared" si="129"/>
        <v>21</v>
      </c>
      <c r="CL39" s="255">
        <f t="shared" si="130"/>
        <v>2</v>
      </c>
      <c r="CM39" s="255">
        <f t="shared" si="131"/>
        <v>2</v>
      </c>
      <c r="CN39" s="63">
        <v>8529</v>
      </c>
      <c r="CO39" s="261">
        <f t="shared" si="132"/>
        <v>17058</v>
      </c>
      <c r="CP39" s="341">
        <v>43024</v>
      </c>
      <c r="CQ39" s="796">
        <f t="shared" si="133"/>
        <v>43132</v>
      </c>
      <c r="CR39" s="513">
        <v>43203</v>
      </c>
      <c r="CS39" s="626">
        <f t="shared" si="134"/>
        <v>43457</v>
      </c>
      <c r="CT39" s="256"/>
      <c r="CU39" s="883" t="e">
        <f t="shared" si="135"/>
        <v>#NUM!</v>
      </c>
      <c r="CV39" s="256"/>
      <c r="CW39" s="626">
        <f>DATE(YEAR(CR39),MONTH(CR39),DAY(CR39)+14)</f>
        <v>43217</v>
      </c>
      <c r="CX39" s="612">
        <v>43234</v>
      </c>
      <c r="CY39" s="753"/>
      <c r="CZ39" s="122">
        <v>43181</v>
      </c>
      <c r="DA39" s="125"/>
      <c r="DB39" s="125"/>
      <c r="DC39" s="125"/>
      <c r="DD39" s="125"/>
      <c r="DE39" s="125"/>
      <c r="DF39" s="56"/>
      <c r="DG39" s="296">
        <f t="shared" si="174"/>
        <v>43568</v>
      </c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126"/>
      <c r="DU39" s="126"/>
      <c r="DV39" s="126"/>
      <c r="DW39" s="691" t="str">
        <f t="shared" si="136"/>
        <v>0</v>
      </c>
      <c r="DX39" s="126">
        <v>42041</v>
      </c>
      <c r="DY39" s="126">
        <v>42041</v>
      </c>
      <c r="DZ39" s="691">
        <f t="shared" si="137"/>
        <v>0</v>
      </c>
      <c r="EA39" s="126"/>
      <c r="EB39" s="126"/>
      <c r="EC39" s="691" t="str">
        <f t="shared" si="138"/>
        <v>0</v>
      </c>
      <c r="ED39" s="126"/>
      <c r="EE39" s="126"/>
      <c r="EF39" s="691" t="str">
        <f t="shared" si="139"/>
        <v>0</v>
      </c>
      <c r="EG39" s="126"/>
      <c r="EH39" s="126"/>
      <c r="EI39" s="721" t="str">
        <f t="shared" si="140"/>
        <v>0</v>
      </c>
      <c r="EJ39" s="340"/>
      <c r="EK39" s="340"/>
      <c r="EL39" s="243"/>
      <c r="EM39" s="721" t="str">
        <f t="shared" si="141"/>
        <v>0</v>
      </c>
      <c r="EN39" s="340">
        <v>42741</v>
      </c>
      <c r="EO39" s="126">
        <v>42583</v>
      </c>
      <c r="EP39" s="721">
        <f t="shared" si="142"/>
        <v>-158</v>
      </c>
      <c r="EQ39" s="592"/>
      <c r="ER39" s="126"/>
      <c r="ES39" s="721" t="str">
        <f t="shared" si="143"/>
        <v>0</v>
      </c>
      <c r="ET39" s="340">
        <v>42712</v>
      </c>
      <c r="EU39" s="743">
        <v>42712</v>
      </c>
      <c r="EV39" s="744">
        <f t="shared" si="144"/>
        <v>0</v>
      </c>
      <c r="EW39" s="126"/>
      <c r="EX39" s="126">
        <v>42994</v>
      </c>
      <c r="EY39" s="691" t="str">
        <f t="shared" si="145"/>
        <v>0</v>
      </c>
      <c r="EZ39" s="126"/>
      <c r="FA39" s="126">
        <v>43024</v>
      </c>
      <c r="FB39" s="691" t="str">
        <f t="shared" si="146"/>
        <v>0</v>
      </c>
      <c r="FC39" s="126">
        <v>42946</v>
      </c>
      <c r="FD39" s="126">
        <v>43053</v>
      </c>
      <c r="FE39" s="691">
        <f t="shared" si="147"/>
        <v>107</v>
      </c>
      <c r="FF39" s="126">
        <v>42977</v>
      </c>
      <c r="FG39" s="126">
        <v>43053</v>
      </c>
      <c r="FH39" s="691">
        <f t="shared" si="148"/>
        <v>76</v>
      </c>
      <c r="FI39" s="701">
        <v>43189</v>
      </c>
      <c r="FJ39" s="701"/>
      <c r="FK39" s="697" t="str">
        <f t="shared" si="149"/>
        <v>0</v>
      </c>
      <c r="FL39" s="701">
        <v>43203</v>
      </c>
      <c r="FM39" s="701">
        <v>43203</v>
      </c>
      <c r="FN39" s="701">
        <v>43203</v>
      </c>
      <c r="FO39" s="701">
        <v>43203</v>
      </c>
      <c r="FP39" s="701">
        <f t="shared" si="187"/>
        <v>43203</v>
      </c>
      <c r="FQ39" s="699">
        <v>20.666666666666668</v>
      </c>
      <c r="FR39" s="701">
        <v>43217</v>
      </c>
      <c r="FS39" s="701">
        <f t="shared" si="188"/>
        <v>43234</v>
      </c>
      <c r="FT39" s="727">
        <v>0</v>
      </c>
      <c r="FU39" s="727">
        <v>0</v>
      </c>
      <c r="FV39" s="727">
        <v>0</v>
      </c>
      <c r="FW39" s="727"/>
      <c r="FX39" s="728">
        <f t="shared" si="151"/>
        <v>-5.2666666666666666</v>
      </c>
      <c r="FY39" s="728">
        <f t="shared" si="152"/>
        <v>0.56666666666666665</v>
      </c>
      <c r="FZ39" s="724" t="s">
        <v>855</v>
      </c>
      <c r="GA39" s="741"/>
      <c r="GB39" s="724" t="s">
        <v>856</v>
      </c>
      <c r="GC39" s="724"/>
      <c r="GD39" s="113"/>
      <c r="GE39" s="117"/>
      <c r="GF39" s="11">
        <f>+GP39+GU39+HB39+HV39+HG39</f>
        <v>0</v>
      </c>
      <c r="GG39" s="12">
        <f t="shared" si="189"/>
        <v>3202767</v>
      </c>
      <c r="GH39" s="13">
        <f t="shared" si="153"/>
        <v>3202767</v>
      </c>
      <c r="GI39" s="52">
        <f t="shared" si="154"/>
        <v>2084.9854502607236</v>
      </c>
      <c r="GJ39" s="52">
        <f t="shared" si="155"/>
        <v>139250.73913043478</v>
      </c>
      <c r="GK39" s="11">
        <v>3537549.5398594467</v>
      </c>
      <c r="GL39" s="12">
        <v>3653732</v>
      </c>
      <c r="GM39" s="13">
        <f t="shared" si="156"/>
        <v>116182.4601405533</v>
      </c>
      <c r="GN39" s="135">
        <f t="shared" si="186"/>
        <v>1.1647617113577102</v>
      </c>
      <c r="GO39" s="137">
        <v>0.4</v>
      </c>
      <c r="GP39" s="11"/>
      <c r="GQ39" s="12">
        <v>901691</v>
      </c>
      <c r="GR39" s="925"/>
      <c r="GS39" s="22">
        <f t="shared" si="158"/>
        <v>39203.956521739128</v>
      </c>
      <c r="GT39" s="38"/>
      <c r="GU39" s="11"/>
      <c r="GV39" s="12">
        <f>GW39+GX39</f>
        <v>1772076</v>
      </c>
      <c r="GW39" s="14">
        <v>296327</v>
      </c>
      <c r="GX39" s="14">
        <v>1475749</v>
      </c>
      <c r="GY39" s="38">
        <f t="shared" si="161"/>
        <v>1772076</v>
      </c>
      <c r="GZ39" s="888">
        <f t="shared" si="162"/>
        <v>77046.782608695648</v>
      </c>
      <c r="HA39" s="12"/>
      <c r="HB39" s="11"/>
      <c r="HC39" s="12">
        <v>529000</v>
      </c>
      <c r="HD39" s="70"/>
      <c r="HE39" s="41">
        <f t="shared" si="163"/>
        <v>0.16516967984246123</v>
      </c>
      <c r="HF39" s="326"/>
      <c r="HG39" s="12"/>
      <c r="HH39" s="23">
        <f t="shared" si="164"/>
        <v>529000</v>
      </c>
      <c r="HI39" s="22">
        <f t="shared" si="165"/>
        <v>23000</v>
      </c>
      <c r="HJ39" s="84">
        <f t="shared" si="166"/>
        <v>62203.956521739128</v>
      </c>
      <c r="HK39" s="23">
        <f t="shared" ref="HK39:HK46" si="190">HH39/AD39</f>
        <v>23000</v>
      </c>
      <c r="HL39" s="51"/>
      <c r="HM39" s="51"/>
      <c r="HN39" s="40"/>
      <c r="HO39" s="40"/>
      <c r="HP39" s="22">
        <f>(GP39+HB39+HO39)/AD39</f>
        <v>0</v>
      </c>
      <c r="HQ39" s="40"/>
      <c r="HR39" s="22">
        <f>(GQ39+HC39+HO39+HQ39)/AD39</f>
        <v>62203.956521739128</v>
      </c>
      <c r="HS39" s="53" t="e">
        <f>(GP39+HB39+HO39+HQ39)/(HN39+GF39-HT39)</f>
        <v>#DIV/0!</v>
      </c>
      <c r="HT39" s="40"/>
      <c r="HU39" s="40"/>
      <c r="HV39" s="12"/>
      <c r="HW39" s="42">
        <f t="shared" si="171"/>
        <v>3202767</v>
      </c>
      <c r="HX39" s="293">
        <v>101410.59907834102</v>
      </c>
      <c r="HY39" s="293">
        <f>IA39+IC39+IE39+IG39+II39+IK39+IM39+IO39+IQ39+IS39+IU39+IW39+IY39+JA39+JC39+JE39+JG39</f>
        <v>91269.548387096773</v>
      </c>
      <c r="HZ39" s="118"/>
      <c r="IA39" s="243"/>
      <c r="IB39" s="243"/>
      <c r="IC39" s="118"/>
      <c r="ID39" s="118"/>
      <c r="IE39" s="243"/>
      <c r="IF39" s="118"/>
      <c r="IG39" s="243"/>
      <c r="IH39" s="118"/>
      <c r="II39" s="243"/>
      <c r="IJ39" s="119"/>
      <c r="IK39" s="403"/>
      <c r="IL39" s="338"/>
      <c r="IM39" s="338"/>
      <c r="IN39" s="204"/>
      <c r="IO39" s="413"/>
      <c r="IP39" s="204"/>
      <c r="IQ39" s="413"/>
      <c r="IR39" s="250">
        <v>42727</v>
      </c>
      <c r="IS39" s="414">
        <v>65916.894009216587</v>
      </c>
      <c r="IT39" s="250">
        <v>42865</v>
      </c>
      <c r="IU39" s="414">
        <v>10141.0599078341</v>
      </c>
      <c r="IV39" s="118">
        <v>43027</v>
      </c>
      <c r="IW39" s="133">
        <v>5070.5345622119812</v>
      </c>
      <c r="IX39" s="119"/>
      <c r="IY39" s="119"/>
      <c r="IZ39" s="118">
        <v>43055</v>
      </c>
      <c r="JA39" s="119">
        <v>10141.0599078341</v>
      </c>
      <c r="JB39" s="243"/>
      <c r="JC39" s="126"/>
      <c r="JD39" s="119"/>
      <c r="JE39" s="126"/>
      <c r="JF39" s="126"/>
      <c r="JG39" s="119"/>
    </row>
    <row r="40" spans="1:267" ht="24.95" customHeight="1">
      <c r="A40" s="900" t="s">
        <v>275</v>
      </c>
      <c r="B40" s="8" t="s">
        <v>28</v>
      </c>
      <c r="C40" s="8" t="s">
        <v>113</v>
      </c>
      <c r="D40" s="8">
        <v>2015</v>
      </c>
      <c r="E40" s="8" t="s">
        <v>247</v>
      </c>
      <c r="F40" s="8" t="s">
        <v>334</v>
      </c>
      <c r="G40" s="8" t="s">
        <v>519</v>
      </c>
      <c r="H40" s="8" t="s">
        <v>177</v>
      </c>
      <c r="I40" s="58"/>
      <c r="J40" s="56"/>
      <c r="K40" s="272"/>
      <c r="L40" s="171" t="s">
        <v>64</v>
      </c>
      <c r="M40" s="108" t="s">
        <v>72</v>
      </c>
      <c r="N40" s="109"/>
      <c r="O40" s="217">
        <v>779</v>
      </c>
      <c r="P40" s="217">
        <v>195000</v>
      </c>
      <c r="Q40" s="217">
        <f>P40</f>
        <v>195000</v>
      </c>
      <c r="R40" s="217">
        <f t="shared" si="180"/>
        <v>9750</v>
      </c>
      <c r="S40" s="217">
        <f t="shared" si="177"/>
        <v>250.32092426187421</v>
      </c>
      <c r="T40" s="223">
        <f t="shared" si="178"/>
        <v>250.32092426187421</v>
      </c>
      <c r="U40" s="223">
        <f t="shared" si="181"/>
        <v>150.05655978022486</v>
      </c>
      <c r="V40" s="223">
        <f t="shared" si="182"/>
        <v>9750</v>
      </c>
      <c r="W40" s="217">
        <f t="shared" si="183"/>
        <v>38.950000000000003</v>
      </c>
      <c r="X40" s="218"/>
      <c r="Y40" s="219">
        <f t="shared" si="184"/>
        <v>1.6681771501925546</v>
      </c>
      <c r="Z40" s="218" t="s">
        <v>198</v>
      </c>
      <c r="AA40" s="220">
        <v>35</v>
      </c>
      <c r="AB40" s="221">
        <v>0</v>
      </c>
      <c r="AC40" s="19" t="s">
        <v>16</v>
      </c>
      <c r="AD40" s="342">
        <f t="shared" si="120"/>
        <v>20</v>
      </c>
      <c r="AE40" s="9"/>
      <c r="AF40" s="8">
        <v>20</v>
      </c>
      <c r="AG40" s="56"/>
      <c r="AH40" s="56"/>
      <c r="AI40" s="10">
        <v>1304.1600000000001</v>
      </c>
      <c r="AJ40" s="573">
        <v>1299.51</v>
      </c>
      <c r="AK40" s="10">
        <f t="shared" si="121"/>
        <v>64.975499999999997</v>
      </c>
      <c r="AL40" s="81">
        <v>0.2</v>
      </c>
      <c r="AM40" s="81">
        <v>0.4</v>
      </c>
      <c r="AN40" s="81">
        <v>0.2</v>
      </c>
      <c r="AO40" s="81">
        <v>0.2</v>
      </c>
      <c r="AP40" s="81">
        <v>0</v>
      </c>
      <c r="AQ40" s="10"/>
      <c r="AR40" s="79">
        <v>0</v>
      </c>
      <c r="AS40" s="81">
        <f>AR40/O40</f>
        <v>0</v>
      </c>
      <c r="AT40" s="60">
        <v>4</v>
      </c>
      <c r="AU40" s="59" t="s">
        <v>626</v>
      </c>
      <c r="AV40" s="8" t="s">
        <v>122</v>
      </c>
      <c r="AW40" s="194">
        <v>41921</v>
      </c>
      <c r="AX40" s="56"/>
      <c r="AY40" s="114" t="s">
        <v>11</v>
      </c>
      <c r="AZ40" s="112" t="s">
        <v>348</v>
      </c>
      <c r="BA40" s="36"/>
      <c r="BB40" s="214">
        <v>42249</v>
      </c>
      <c r="BC40" s="101"/>
      <c r="BD40" s="101">
        <v>42579</v>
      </c>
      <c r="BE40" s="214">
        <v>42606</v>
      </c>
      <c r="BF40" s="101">
        <v>42606</v>
      </c>
      <c r="BG40" s="169">
        <v>42606</v>
      </c>
      <c r="BH40" s="212">
        <v>42620</v>
      </c>
      <c r="BI40" s="170">
        <v>42711</v>
      </c>
      <c r="BJ40" s="170">
        <v>42646</v>
      </c>
      <c r="BK40" s="320">
        <f>BH40</f>
        <v>42620</v>
      </c>
      <c r="BL40" s="319">
        <f>DATE(YEAR(BK40),MONTH(BK40)+24,DAY(BK40))</f>
        <v>43350</v>
      </c>
      <c r="BM40" s="319">
        <f>DATE(YEAR(BK40),MONTH(BK40)+36,DAY(BK40))</f>
        <v>43715</v>
      </c>
      <c r="BN40" s="319" t="str">
        <f>IF(CX40&gt;BL40,"oui","non")</f>
        <v>non</v>
      </c>
      <c r="BO40" s="174" t="s">
        <v>468</v>
      </c>
      <c r="BP40" s="37" t="s">
        <v>655</v>
      </c>
      <c r="BQ40" s="503" t="s">
        <v>572</v>
      </c>
      <c r="BR40" s="483">
        <v>42725</v>
      </c>
      <c r="BS40" s="483">
        <v>42915</v>
      </c>
      <c r="BT40" s="483">
        <v>42912</v>
      </c>
      <c r="BU40" s="165" t="s">
        <v>72</v>
      </c>
      <c r="BV40" s="330">
        <v>42719</v>
      </c>
      <c r="BW40" s="266" t="s">
        <v>618</v>
      </c>
      <c r="BX40" s="166">
        <v>2638167.36</v>
      </c>
      <c r="BY40" s="302">
        <f>DATE(YEAR(BV40),MONTH(BV40)+18,DAY(BV40))</f>
        <v>43266</v>
      </c>
      <c r="BZ40" s="273">
        <f t="shared" si="185"/>
        <v>43449</v>
      </c>
      <c r="CA40" s="441">
        <v>42972</v>
      </c>
      <c r="CB40" s="273">
        <v>43419</v>
      </c>
      <c r="CC40" s="780">
        <f t="shared" si="179"/>
        <v>-4.0999999999999996</v>
      </c>
      <c r="CD40" s="615"/>
      <c r="CE40" s="451">
        <v>42786</v>
      </c>
      <c r="CF40" s="444">
        <v>2017</v>
      </c>
      <c r="CG40" s="602">
        <f t="shared" si="127"/>
        <v>17.899999999999999</v>
      </c>
      <c r="CH40" s="408">
        <v>14</v>
      </c>
      <c r="CI40" s="408">
        <f t="shared" si="176"/>
        <v>15</v>
      </c>
      <c r="CJ40" s="255">
        <f t="shared" si="128"/>
        <v>16</v>
      </c>
      <c r="CK40" s="255">
        <f t="shared" si="129"/>
        <v>16</v>
      </c>
      <c r="CL40" s="255">
        <f t="shared" si="130"/>
        <v>2</v>
      </c>
      <c r="CM40" s="255">
        <f t="shared" si="131"/>
        <v>1</v>
      </c>
      <c r="CN40" s="261">
        <v>7269</v>
      </c>
      <c r="CO40" s="246">
        <f t="shared" si="132"/>
        <v>14538</v>
      </c>
      <c r="CP40" s="253">
        <v>42879</v>
      </c>
      <c r="CQ40" s="834">
        <f t="shared" si="133"/>
        <v>43210</v>
      </c>
      <c r="CR40" s="513">
        <v>43271</v>
      </c>
      <c r="CS40" s="626">
        <f t="shared" si="134"/>
        <v>43702</v>
      </c>
      <c r="CT40" s="256"/>
      <c r="CU40" s="883" t="e">
        <f t="shared" si="135"/>
        <v>#NUM!</v>
      </c>
      <c r="CV40" s="256"/>
      <c r="CW40" s="749">
        <v>43276</v>
      </c>
      <c r="CX40" s="612">
        <v>43296</v>
      </c>
      <c r="CY40" s="753"/>
      <c r="CZ40" s="122"/>
      <c r="DA40" s="125"/>
      <c r="DB40" s="125"/>
      <c r="DC40" s="125"/>
      <c r="DD40" s="125"/>
      <c r="DE40" s="125"/>
      <c r="DF40" s="56"/>
      <c r="DG40" s="296">
        <f t="shared" si="174"/>
        <v>43636</v>
      </c>
      <c r="DH40" s="56"/>
      <c r="DI40" s="56"/>
      <c r="DJ40" s="56"/>
      <c r="DK40" s="56"/>
      <c r="DL40" s="56"/>
      <c r="DM40" s="56"/>
      <c r="DN40" s="56"/>
      <c r="DO40" s="118"/>
      <c r="DP40" s="56"/>
      <c r="DQ40" s="56"/>
      <c r="DR40" s="56"/>
      <c r="DS40" s="56"/>
      <c r="DT40" s="126">
        <v>41828</v>
      </c>
      <c r="DU40" s="126">
        <v>41829</v>
      </c>
      <c r="DV40" s="126">
        <v>41862</v>
      </c>
      <c r="DW40" s="691">
        <f t="shared" si="136"/>
        <v>33</v>
      </c>
      <c r="DX40" s="126">
        <v>42048</v>
      </c>
      <c r="DY40" s="126">
        <v>42040</v>
      </c>
      <c r="DZ40" s="691">
        <f t="shared" si="137"/>
        <v>-8</v>
      </c>
      <c r="EA40" s="126">
        <v>42027</v>
      </c>
      <c r="EB40" s="126">
        <v>42027</v>
      </c>
      <c r="EC40" s="691">
        <f t="shared" si="138"/>
        <v>0</v>
      </c>
      <c r="ED40" s="126">
        <v>42121</v>
      </c>
      <c r="EE40" s="126">
        <v>42184</v>
      </c>
      <c r="EF40" s="691">
        <f t="shared" si="139"/>
        <v>63</v>
      </c>
      <c r="EG40" s="126">
        <v>42244</v>
      </c>
      <c r="EH40" s="126">
        <v>42254</v>
      </c>
      <c r="EI40" s="691">
        <f t="shared" si="140"/>
        <v>10</v>
      </c>
      <c r="EJ40" s="126">
        <v>42528</v>
      </c>
      <c r="EK40" s="126">
        <v>42810</v>
      </c>
      <c r="EL40" s="126">
        <v>42781</v>
      </c>
      <c r="EM40" s="691">
        <f t="shared" si="141"/>
        <v>-29</v>
      </c>
      <c r="EN40" s="126">
        <v>42796</v>
      </c>
      <c r="EO40" s="126">
        <v>42786</v>
      </c>
      <c r="EP40" s="691">
        <f t="shared" si="142"/>
        <v>-10</v>
      </c>
      <c r="EQ40" s="126">
        <v>42860</v>
      </c>
      <c r="ER40" s="126">
        <v>42893</v>
      </c>
      <c r="ES40" s="691">
        <f t="shared" si="143"/>
        <v>33</v>
      </c>
      <c r="ET40" s="126">
        <v>42899</v>
      </c>
      <c r="EU40" s="743">
        <v>42978</v>
      </c>
      <c r="EV40" s="694">
        <f t="shared" si="144"/>
        <v>79</v>
      </c>
      <c r="EW40" s="126">
        <v>42978</v>
      </c>
      <c r="EX40" s="126">
        <v>43054</v>
      </c>
      <c r="EY40" s="691">
        <f t="shared" si="145"/>
        <v>76</v>
      </c>
      <c r="EZ40" s="126">
        <v>43054</v>
      </c>
      <c r="FA40" s="126">
        <v>43181</v>
      </c>
      <c r="FB40" s="691">
        <f t="shared" si="146"/>
        <v>127</v>
      </c>
      <c r="FC40" s="701">
        <v>43047</v>
      </c>
      <c r="FD40" s="701">
        <f ca="1">IF(FC40&lt;TODAY(),TODAY(),FC40)</f>
        <v>43188</v>
      </c>
      <c r="FE40" s="697">
        <f t="shared" ca="1" si="147"/>
        <v>141</v>
      </c>
      <c r="FF40" s="701">
        <v>43167</v>
      </c>
      <c r="FG40" s="701">
        <f ca="1">IF(FF40&lt;TODAY(),TODAY(),FF40)</f>
        <v>43188</v>
      </c>
      <c r="FH40" s="697">
        <f t="shared" ca="1" si="148"/>
        <v>21</v>
      </c>
      <c r="FI40" s="701">
        <v>43200</v>
      </c>
      <c r="FJ40" s="701">
        <f ca="1">IF(FI40&lt;TODAY(),TODAY(),FI40)</f>
        <v>43200</v>
      </c>
      <c r="FK40" s="697">
        <f t="shared" ca="1" si="149"/>
        <v>0</v>
      </c>
      <c r="FL40" s="703"/>
      <c r="FM40" s="703"/>
      <c r="FN40" s="703"/>
      <c r="FO40" s="701">
        <v>43206</v>
      </c>
      <c r="FP40" s="701">
        <f t="shared" si="187"/>
        <v>43271</v>
      </c>
      <c r="FQ40" s="699">
        <f>(DATEDIF(EO40,FO40,"d"))/30</f>
        <v>14</v>
      </c>
      <c r="FR40" s="701">
        <v>43236</v>
      </c>
      <c r="FS40" s="701">
        <f t="shared" si="188"/>
        <v>43296</v>
      </c>
      <c r="FT40" s="727"/>
      <c r="FU40" s="727">
        <v>17834</v>
      </c>
      <c r="FV40" s="727">
        <v>11272.51</v>
      </c>
      <c r="FW40" s="727"/>
      <c r="FX40" s="728">
        <f t="shared" si="151"/>
        <v>1.9666666666666666</v>
      </c>
      <c r="FY40" s="728">
        <f t="shared" si="152"/>
        <v>2</v>
      </c>
      <c r="FZ40" s="724" t="s">
        <v>840</v>
      </c>
      <c r="GA40" s="741" t="s">
        <v>894</v>
      </c>
      <c r="GB40" s="741" t="s">
        <v>845</v>
      </c>
      <c r="GC40" s="741" t="s">
        <v>849</v>
      </c>
      <c r="GD40" s="113"/>
      <c r="GE40" s="117"/>
      <c r="GF40" s="11">
        <f>GP40+GU40+HB40</f>
        <v>2722212.2295052204</v>
      </c>
      <c r="GG40" s="12">
        <f t="shared" si="189"/>
        <v>2795728</v>
      </c>
      <c r="GH40" s="13">
        <f t="shared" si="153"/>
        <v>73515.770494779572</v>
      </c>
      <c r="GI40" s="52">
        <f t="shared" si="154"/>
        <v>2143.7001594896328</v>
      </c>
      <c r="GJ40" s="52">
        <f t="shared" si="155"/>
        <v>139786.4</v>
      </c>
      <c r="GK40" s="11">
        <v>2475597.5350000001</v>
      </c>
      <c r="GL40" s="12">
        <v>2036370.9416817785</v>
      </c>
      <c r="GM40" s="13">
        <f t="shared" si="156"/>
        <v>-439226.59331822162</v>
      </c>
      <c r="GN40" s="135">
        <f t="shared" si="186"/>
        <v>0.74368276579735071</v>
      </c>
      <c r="GO40" s="137">
        <v>0.39772600000000002</v>
      </c>
      <c r="GP40" s="11">
        <v>819282.73457759398</v>
      </c>
      <c r="GQ40" s="917">
        <v>803098</v>
      </c>
      <c r="GR40" s="925"/>
      <c r="GS40" s="920">
        <f t="shared" si="158"/>
        <v>40154.9</v>
      </c>
      <c r="GT40" s="38">
        <f>GQ40-GP40</f>
        <v>-16184.734577593976</v>
      </c>
      <c r="GU40" s="11">
        <v>1502929.4949276266</v>
      </c>
      <c r="GV40" s="12">
        <f>GX40+GW40</f>
        <v>1544668</v>
      </c>
      <c r="GW40" s="14">
        <v>339371</v>
      </c>
      <c r="GX40" s="14">
        <v>1205297</v>
      </c>
      <c r="GY40" s="38">
        <f t="shared" si="161"/>
        <v>41738.505072373431</v>
      </c>
      <c r="GZ40" s="888">
        <f t="shared" si="162"/>
        <v>77233.399999999994</v>
      </c>
      <c r="HA40" s="12"/>
      <c r="HB40" s="21">
        <v>400000</v>
      </c>
      <c r="HC40" s="12">
        <v>400000</v>
      </c>
      <c r="HD40" s="70"/>
      <c r="HE40" s="41">
        <f t="shared" si="163"/>
        <v>0.14307543509239812</v>
      </c>
      <c r="HF40" s="326"/>
      <c r="HG40" s="12">
        <f>18371+11757</f>
        <v>30128</v>
      </c>
      <c r="HH40" s="23">
        <f t="shared" si="164"/>
        <v>0</v>
      </c>
      <c r="HI40" s="22">
        <f t="shared" si="165"/>
        <v>20000</v>
      </c>
      <c r="HJ40" s="84">
        <f t="shared" si="166"/>
        <v>60154.9</v>
      </c>
      <c r="HK40" s="23">
        <f t="shared" si="190"/>
        <v>0</v>
      </c>
      <c r="HL40" s="51">
        <v>5.59</v>
      </c>
      <c r="HM40" s="51">
        <v>5.49</v>
      </c>
      <c r="HN40" s="40">
        <v>0</v>
      </c>
      <c r="HO40" s="40">
        <v>0</v>
      </c>
      <c r="HP40" s="22">
        <f>(GQ40+HC40+HO40)/AD40</f>
        <v>60154.9</v>
      </c>
      <c r="HQ40" s="40">
        <v>0</v>
      </c>
      <c r="HR40" s="22">
        <f>(GQ40+HC40+HO40+HQ40)/AD40</f>
        <v>60154.9</v>
      </c>
      <c r="HS40" s="53">
        <f t="shared" ref="HS40:HS48" si="191">(GQ40+HC40+HO40+HQ40)/(HN40+GG40-HT40)</f>
        <v>0.43033442452198495</v>
      </c>
      <c r="HT40" s="40">
        <v>0</v>
      </c>
      <c r="HU40" s="40"/>
      <c r="HV40" s="12">
        <f>FU40</f>
        <v>17834</v>
      </c>
      <c r="HW40" s="42">
        <f t="shared" si="171"/>
        <v>2795728</v>
      </c>
      <c r="HX40" s="293">
        <v>131447</v>
      </c>
      <c r="HY40" s="293">
        <f>IA40+IC40+IE40+IG40+II40+IK40+IM40+IO40+IQ40+IS40+IU40+IW40+IY40+JA40+JC40+JE40+JG40</f>
        <v>105157</v>
      </c>
      <c r="HZ40" s="118">
        <v>41936</v>
      </c>
      <c r="IA40" s="243">
        <v>13352</v>
      </c>
      <c r="IB40" s="243"/>
      <c r="IC40" s="118"/>
      <c r="ID40" s="118"/>
      <c r="IE40" s="243">
        <v>6171</v>
      </c>
      <c r="IF40" s="118">
        <v>42066</v>
      </c>
      <c r="IG40" s="243">
        <v>12860</v>
      </c>
      <c r="IH40" s="118">
        <v>42121</v>
      </c>
      <c r="II40" s="243">
        <v>13828</v>
      </c>
      <c r="IJ40" s="119"/>
      <c r="IK40" s="403">
        <v>19512</v>
      </c>
      <c r="IL40" s="338"/>
      <c r="IM40" s="338"/>
      <c r="IN40" s="126">
        <v>42717</v>
      </c>
      <c r="IO40" s="243"/>
      <c r="IP40" s="126">
        <v>42717</v>
      </c>
      <c r="IQ40" s="243">
        <v>19717</v>
      </c>
      <c r="IR40" s="118">
        <v>42964</v>
      </c>
      <c r="IS40" s="119">
        <v>6573</v>
      </c>
      <c r="IT40" s="119"/>
      <c r="IU40" s="119"/>
      <c r="IV40" s="118">
        <v>43083</v>
      </c>
      <c r="IW40" s="902">
        <v>13144</v>
      </c>
      <c r="IX40" s="286"/>
      <c r="IY40" s="286"/>
      <c r="IZ40" s="286"/>
      <c r="JA40" s="286"/>
      <c r="JB40" s="243">
        <v>12860</v>
      </c>
      <c r="JC40" s="126"/>
      <c r="JD40" s="119"/>
      <c r="JE40" s="126"/>
      <c r="JF40" s="126"/>
      <c r="JG40" s="119"/>
    </row>
    <row r="41" spans="1:267" ht="24.95" customHeight="1">
      <c r="A41" s="926" t="s">
        <v>27</v>
      </c>
      <c r="B41" s="8" t="s">
        <v>28</v>
      </c>
      <c r="C41" s="8" t="s">
        <v>113</v>
      </c>
      <c r="D41" s="8">
        <v>2014</v>
      </c>
      <c r="E41" s="8" t="s">
        <v>29</v>
      </c>
      <c r="F41" s="8" t="s">
        <v>30</v>
      </c>
      <c r="G41" s="8" t="s">
        <v>519</v>
      </c>
      <c r="H41" s="8" t="s">
        <v>177</v>
      </c>
      <c r="I41" s="56" t="s">
        <v>121</v>
      </c>
      <c r="J41" s="56"/>
      <c r="K41" s="272" t="s">
        <v>750</v>
      </c>
      <c r="L41" s="171" t="s">
        <v>67</v>
      </c>
      <c r="M41" s="108" t="s">
        <v>68</v>
      </c>
      <c r="N41" s="109"/>
      <c r="O41" s="223">
        <f>5311+1709</f>
        <v>7020</v>
      </c>
      <c r="P41" s="223">
        <v>577000</v>
      </c>
      <c r="Q41" s="223">
        <v>173455</v>
      </c>
      <c r="R41" s="217">
        <f>P41/21</f>
        <v>27476.190476190477</v>
      </c>
      <c r="S41" s="223">
        <f t="shared" si="177"/>
        <v>82.193732193732188</v>
      </c>
      <c r="T41" s="223">
        <f t="shared" si="178"/>
        <v>24.708689458689459</v>
      </c>
      <c r="U41" s="223">
        <f t="shared" si="181"/>
        <v>113.95918742773048</v>
      </c>
      <c r="V41" s="223">
        <f t="shared" si="182"/>
        <v>8259.7619047619046</v>
      </c>
      <c r="W41" s="217">
        <f t="shared" si="183"/>
        <v>334.28571428571428</v>
      </c>
      <c r="X41" s="227"/>
      <c r="Y41" s="228">
        <f t="shared" si="184"/>
        <v>0.21682051282051282</v>
      </c>
      <c r="Z41" s="227" t="s">
        <v>212</v>
      </c>
      <c r="AA41" s="220">
        <v>40</v>
      </c>
      <c r="AB41" s="221"/>
      <c r="AC41" s="8" t="s">
        <v>16</v>
      </c>
      <c r="AD41" s="342">
        <f t="shared" si="120"/>
        <v>21</v>
      </c>
      <c r="AE41" s="9"/>
      <c r="AF41" s="8">
        <f>21*1</f>
        <v>21</v>
      </c>
      <c r="AG41" s="56"/>
      <c r="AH41" s="56"/>
      <c r="AI41" s="10">
        <v>1508.31</v>
      </c>
      <c r="AJ41" s="85">
        <v>1522.08</v>
      </c>
      <c r="AK41" s="10">
        <f t="shared" si="121"/>
        <v>72.47999999999999</v>
      </c>
      <c r="AL41" s="62">
        <v>0</v>
      </c>
      <c r="AM41" s="62">
        <v>7</v>
      </c>
      <c r="AN41" s="62">
        <v>8</v>
      </c>
      <c r="AO41" s="62">
        <v>5</v>
      </c>
      <c r="AP41" s="62">
        <v>1</v>
      </c>
      <c r="AQ41" s="10"/>
      <c r="AR41" s="79"/>
      <c r="AS41" s="81">
        <f>AR41/O41</f>
        <v>0</v>
      </c>
      <c r="AT41" s="60">
        <v>1</v>
      </c>
      <c r="AU41" s="57" t="s">
        <v>625</v>
      </c>
      <c r="AV41" s="8" t="s">
        <v>122</v>
      </c>
      <c r="AW41" s="194">
        <v>41438</v>
      </c>
      <c r="AX41" s="194">
        <v>40963</v>
      </c>
      <c r="AY41" s="114" t="s">
        <v>11</v>
      </c>
      <c r="AZ41" s="112" t="s">
        <v>255</v>
      </c>
      <c r="BA41" s="559" t="s">
        <v>172</v>
      </c>
      <c r="BB41" s="214">
        <v>41848</v>
      </c>
      <c r="BC41" s="101">
        <v>43010</v>
      </c>
      <c r="BD41" s="202" t="s">
        <v>422</v>
      </c>
      <c r="BE41" s="215" t="s">
        <v>436</v>
      </c>
      <c r="BF41" s="101">
        <v>42510</v>
      </c>
      <c r="BG41" s="578">
        <v>42527</v>
      </c>
      <c r="BH41" s="581">
        <v>42594</v>
      </c>
      <c r="BI41" s="174">
        <v>42686</v>
      </c>
      <c r="BJ41" s="174">
        <v>42611</v>
      </c>
      <c r="BK41" s="319">
        <v>42885</v>
      </c>
      <c r="BL41" s="319">
        <f>DATE(YEAR(BK41),MONTH(BK41)+24,DAY(BK41))</f>
        <v>43615</v>
      </c>
      <c r="BM41" s="319">
        <f>DATE(YEAR(BK41),MONTH(BK41)+36,DAY(BK41))</f>
        <v>43981</v>
      </c>
      <c r="BN41" s="319" t="str">
        <f>IF(CX41&gt;BL41,"oui","non")</f>
        <v>non</v>
      </c>
      <c r="BO41" s="170">
        <v>42600</v>
      </c>
      <c r="BP41" s="37" t="s">
        <v>658</v>
      </c>
      <c r="BQ41" s="460">
        <v>42747</v>
      </c>
      <c r="BR41" s="103"/>
      <c r="BS41" s="483">
        <v>42915</v>
      </c>
      <c r="BT41" s="483">
        <v>42746</v>
      </c>
      <c r="BU41" s="165" t="s">
        <v>68</v>
      </c>
      <c r="BV41" s="302"/>
      <c r="BW41" s="266"/>
      <c r="BX41" s="166"/>
      <c r="BY41" s="172">
        <f>DATE(YEAR(BV41),MONTH(BV41)+18,DAY(BV41))</f>
        <v>547</v>
      </c>
      <c r="BZ41" s="266">
        <f t="shared" si="185"/>
        <v>731</v>
      </c>
      <c r="CA41" s="266"/>
      <c r="CB41" s="266" t="s">
        <v>172</v>
      </c>
      <c r="CC41" s="781"/>
      <c r="CD41" s="81"/>
      <c r="CE41" s="450">
        <v>42933</v>
      </c>
      <c r="CF41" s="444">
        <v>2017</v>
      </c>
      <c r="CG41" s="602">
        <f t="shared" si="127"/>
        <v>36.166666666666664</v>
      </c>
      <c r="CH41" s="121">
        <v>15</v>
      </c>
      <c r="CI41" s="121">
        <f t="shared" si="176"/>
        <v>16</v>
      </c>
      <c r="CJ41" s="255">
        <f t="shared" si="128"/>
        <v>15</v>
      </c>
      <c r="CK41" s="255">
        <f t="shared" si="129"/>
        <v>17</v>
      </c>
      <c r="CL41" s="255">
        <f t="shared" si="130"/>
        <v>0</v>
      </c>
      <c r="CM41" s="255">
        <f t="shared" si="131"/>
        <v>1</v>
      </c>
      <c r="CN41" s="246">
        <f>100499.898263388/12</f>
        <v>8374.9915219489994</v>
      </c>
      <c r="CO41" s="245">
        <f t="shared" si="132"/>
        <v>0</v>
      </c>
      <c r="CP41" s="130"/>
      <c r="CQ41" s="626">
        <f t="shared" si="133"/>
        <v>43390</v>
      </c>
      <c r="CR41" s="513">
        <f>DATE(YEAR(CE41),MONTH(CE41)+CH41,DAY(CE41))</f>
        <v>43390</v>
      </c>
      <c r="CS41" s="626">
        <f t="shared" si="134"/>
        <v>731</v>
      </c>
      <c r="CT41" s="196"/>
      <c r="CU41" s="882" t="e">
        <f t="shared" si="135"/>
        <v>#NUM!</v>
      </c>
      <c r="CV41" s="196"/>
      <c r="CW41" s="749">
        <v>43403</v>
      </c>
      <c r="CX41" s="513">
        <v>43475</v>
      </c>
      <c r="CY41" s="565"/>
      <c r="CZ41" s="122"/>
      <c r="DA41" s="125"/>
      <c r="DB41" s="125"/>
      <c r="DC41" s="125"/>
      <c r="DD41" s="125"/>
      <c r="DE41" s="125"/>
      <c r="DF41" s="56"/>
      <c r="DG41" s="296">
        <f t="shared" si="174"/>
        <v>43755</v>
      </c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126">
        <v>40798</v>
      </c>
      <c r="DU41" s="126">
        <v>40799</v>
      </c>
      <c r="DV41" s="126">
        <v>40801</v>
      </c>
      <c r="DW41" s="721">
        <f t="shared" si="136"/>
        <v>2</v>
      </c>
      <c r="DX41" s="126">
        <v>41676</v>
      </c>
      <c r="DY41" s="126">
        <v>41676</v>
      </c>
      <c r="DZ41" s="721">
        <f t="shared" si="137"/>
        <v>0</v>
      </c>
      <c r="EA41" s="126">
        <v>40918</v>
      </c>
      <c r="EB41" s="126">
        <v>40952</v>
      </c>
      <c r="EC41" s="721">
        <f t="shared" si="138"/>
        <v>34</v>
      </c>
      <c r="ED41" s="126">
        <v>40998</v>
      </c>
      <c r="EE41" s="126">
        <v>41753</v>
      </c>
      <c r="EF41" s="721">
        <f t="shared" si="139"/>
        <v>755</v>
      </c>
      <c r="EG41" s="126">
        <v>42164</v>
      </c>
      <c r="EH41" s="126">
        <v>41753</v>
      </c>
      <c r="EI41" s="721">
        <f t="shared" si="140"/>
        <v>-411</v>
      </c>
      <c r="EJ41" s="126">
        <v>42244</v>
      </c>
      <c r="EK41" s="126">
        <v>42353</v>
      </c>
      <c r="EL41" s="126">
        <v>42928</v>
      </c>
      <c r="EM41" s="721">
        <f t="shared" si="141"/>
        <v>575</v>
      </c>
      <c r="EN41" s="126">
        <v>42943</v>
      </c>
      <c r="EO41" s="126">
        <v>42933</v>
      </c>
      <c r="EP41" s="691">
        <f t="shared" si="142"/>
        <v>-10</v>
      </c>
      <c r="EQ41" s="126">
        <v>42965</v>
      </c>
      <c r="ER41" s="126">
        <v>43038</v>
      </c>
      <c r="ES41" s="691">
        <f t="shared" si="143"/>
        <v>73</v>
      </c>
      <c r="ET41" s="789">
        <v>43182</v>
      </c>
      <c r="EU41" s="761">
        <v>43182</v>
      </c>
      <c r="EV41" s="698">
        <f t="shared" si="144"/>
        <v>0</v>
      </c>
      <c r="EW41" s="709">
        <v>43196</v>
      </c>
      <c r="EX41" s="709">
        <f ca="1">IF(EW41&lt;TODAY(),TODAY(),EW41)</f>
        <v>43196</v>
      </c>
      <c r="EY41" s="697">
        <f t="shared" ca="1" si="145"/>
        <v>0</v>
      </c>
      <c r="EZ41" s="701">
        <v>43301</v>
      </c>
      <c r="FA41" s="701">
        <v>43301</v>
      </c>
      <c r="FB41" s="697">
        <f t="shared" si="146"/>
        <v>0</v>
      </c>
      <c r="FC41" s="701">
        <v>43299</v>
      </c>
      <c r="FD41" s="701">
        <v>43299</v>
      </c>
      <c r="FE41" s="697">
        <f t="shared" si="147"/>
        <v>0</v>
      </c>
      <c r="FF41" s="701">
        <v>43329</v>
      </c>
      <c r="FG41" s="701">
        <v>43329</v>
      </c>
      <c r="FH41" s="697">
        <f t="shared" si="148"/>
        <v>0</v>
      </c>
      <c r="FI41" s="701">
        <v>43381</v>
      </c>
      <c r="FJ41" s="701">
        <v>43381</v>
      </c>
      <c r="FK41" s="697">
        <f t="shared" si="149"/>
        <v>0</v>
      </c>
      <c r="FL41" s="701">
        <v>43322</v>
      </c>
      <c r="FM41" s="701">
        <v>43322</v>
      </c>
      <c r="FN41" s="701">
        <v>43322</v>
      </c>
      <c r="FO41" s="701">
        <v>43390</v>
      </c>
      <c r="FP41" s="701">
        <f t="shared" si="187"/>
        <v>43390</v>
      </c>
      <c r="FQ41" s="699">
        <f>(DATEDIF(EO41,FO41,"d"))/30</f>
        <v>15.233333333333333</v>
      </c>
      <c r="FR41" s="701">
        <v>43420</v>
      </c>
      <c r="FS41" s="701">
        <f t="shared" si="188"/>
        <v>43475</v>
      </c>
      <c r="FT41" s="727">
        <v>368628</v>
      </c>
      <c r="FU41" s="727">
        <v>329629</v>
      </c>
      <c r="FV41" s="770" t="s">
        <v>666</v>
      </c>
      <c r="FW41" s="770"/>
      <c r="FX41" s="728">
        <f t="shared" si="151"/>
        <v>31.5</v>
      </c>
      <c r="FY41" s="728">
        <f t="shared" si="152"/>
        <v>1.8333333333333333</v>
      </c>
      <c r="FZ41" s="725" t="s">
        <v>30</v>
      </c>
      <c r="GA41" s="725"/>
      <c r="GB41" s="725" t="s">
        <v>833</v>
      </c>
      <c r="GC41" s="726" t="s">
        <v>935</v>
      </c>
      <c r="GD41" s="113"/>
      <c r="GE41" s="117"/>
      <c r="GF41" s="11">
        <f>+GP41+GU41+HB41+HV41</f>
        <v>3671791.59</v>
      </c>
      <c r="GG41" s="70">
        <f t="shared" si="189"/>
        <v>3922069.97</v>
      </c>
      <c r="GH41" s="13">
        <f t="shared" si="153"/>
        <v>250278.38000000035</v>
      </c>
      <c r="GI41" s="52">
        <f t="shared" si="154"/>
        <v>2600.3076091784847</v>
      </c>
      <c r="GJ41" s="52">
        <f t="shared" si="155"/>
        <v>186765.23666666666</v>
      </c>
      <c r="GK41" s="11">
        <v>2877228</v>
      </c>
      <c r="GL41" s="12">
        <v>2855004</v>
      </c>
      <c r="GM41" s="13">
        <f t="shared" si="156"/>
        <v>-22224</v>
      </c>
      <c r="GN41" s="135">
        <f t="shared" si="186"/>
        <v>0.74321955148597196</v>
      </c>
      <c r="GO41" s="136"/>
      <c r="GP41" s="11">
        <v>840305.59</v>
      </c>
      <c r="GQ41" s="917">
        <v>1252254</v>
      </c>
      <c r="GR41" s="925">
        <v>1268847</v>
      </c>
      <c r="GS41" s="920">
        <f t="shared" si="158"/>
        <v>59631.142857142855</v>
      </c>
      <c r="GT41" s="38">
        <f>GQ41-GP41</f>
        <v>411948.41000000003</v>
      </c>
      <c r="GU41" s="11">
        <f>GW41+GX41</f>
        <v>1784577</v>
      </c>
      <c r="GV41" s="12">
        <f>GX41+GW41</f>
        <v>1784577</v>
      </c>
      <c r="GW41" s="14">
        <v>599672</v>
      </c>
      <c r="GX41" s="14">
        <v>1184905</v>
      </c>
      <c r="GY41" s="38">
        <f t="shared" si="161"/>
        <v>0</v>
      </c>
      <c r="GZ41" s="888">
        <f t="shared" si="162"/>
        <v>84979.857142857145</v>
      </c>
      <c r="HA41" s="12"/>
      <c r="HB41" s="11">
        <v>717280</v>
      </c>
      <c r="HC41" s="585">
        <v>442750</v>
      </c>
      <c r="HD41" s="75">
        <v>0</v>
      </c>
      <c r="HE41" s="41">
        <f t="shared" si="163"/>
        <v>0.11288681828386656</v>
      </c>
      <c r="HF41" s="326"/>
      <c r="HG41" s="12">
        <f>20396+92463.97</f>
        <v>112859.97</v>
      </c>
      <c r="HH41" s="23">
        <f t="shared" si="164"/>
        <v>-274530</v>
      </c>
      <c r="HI41" s="49">
        <f t="shared" si="165"/>
        <v>21083.333333333332</v>
      </c>
      <c r="HJ41" s="84">
        <f t="shared" si="166"/>
        <v>80714.476190476184</v>
      </c>
      <c r="HK41" s="23">
        <f t="shared" si="190"/>
        <v>-13072.857142857143</v>
      </c>
      <c r="HL41" s="50">
        <v>5.15</v>
      </c>
      <c r="HM41" s="50">
        <v>5</v>
      </c>
      <c r="HN41" s="40">
        <v>1512119.8533942373</v>
      </c>
      <c r="HO41" s="40">
        <f>15000*AD41</f>
        <v>315000</v>
      </c>
      <c r="HP41" s="22"/>
      <c r="HQ41" s="40">
        <v>292222.2</v>
      </c>
      <c r="HR41" s="22"/>
      <c r="HS41" s="53">
        <f t="shared" si="191"/>
        <v>0.4379277313567006</v>
      </c>
      <c r="HT41" s="40">
        <v>177098.21865</v>
      </c>
      <c r="HU41" s="40"/>
      <c r="HV41" s="590">
        <f t="shared" ref="HV41:HV62" si="192">FU41</f>
        <v>329629</v>
      </c>
      <c r="HW41" s="42">
        <f t="shared" si="171"/>
        <v>5434189.8233942371</v>
      </c>
      <c r="HX41" s="293">
        <v>197264</v>
      </c>
      <c r="HY41" s="293">
        <f>IA41+IC41+IE41+IG41+II41+IK41+IM41+IO41+IQ41+IS41+IU41+IW41+IY41+JA41+JC41+JE41+JG41</f>
        <v>132956</v>
      </c>
      <c r="HZ41" s="118">
        <v>40814</v>
      </c>
      <c r="IA41" s="243">
        <v>24368</v>
      </c>
      <c r="IB41" s="126"/>
      <c r="IC41" s="118"/>
      <c r="ID41" s="118"/>
      <c r="IE41" s="243"/>
      <c r="IF41" s="118">
        <v>41676</v>
      </c>
      <c r="IG41" s="243">
        <v>17298</v>
      </c>
      <c r="IH41" s="133">
        <v>40998</v>
      </c>
      <c r="II41" s="243">
        <v>11733</v>
      </c>
      <c r="IJ41" s="126">
        <v>41992</v>
      </c>
      <c r="IK41" s="403">
        <v>26183</v>
      </c>
      <c r="IL41" s="338"/>
      <c r="IM41" s="338"/>
      <c r="IN41" s="249"/>
      <c r="IO41" s="409"/>
      <c r="IP41" s="249">
        <v>42933</v>
      </c>
      <c r="IQ41" s="409">
        <v>49639</v>
      </c>
      <c r="IR41" s="341">
        <v>43090</v>
      </c>
      <c r="IS41" s="405">
        <v>3735</v>
      </c>
      <c r="IT41" s="324"/>
      <c r="IU41" s="324"/>
      <c r="IV41" s="286"/>
      <c r="IW41" s="286"/>
      <c r="IX41" s="286"/>
      <c r="IY41" s="286"/>
      <c r="IZ41" s="286"/>
      <c r="JA41" s="286"/>
      <c r="JB41" s="243">
        <v>17298</v>
      </c>
      <c r="JC41" s="126"/>
      <c r="JD41" s="119"/>
      <c r="JE41" s="126"/>
      <c r="JF41" s="126"/>
      <c r="JG41" s="119"/>
    </row>
    <row r="42" spans="1:267" ht="60" customHeight="1">
      <c r="A42" s="926" t="s">
        <v>289</v>
      </c>
      <c r="B42" s="19" t="s">
        <v>40</v>
      </c>
      <c r="C42" s="19" t="s">
        <v>115</v>
      </c>
      <c r="D42" s="19">
        <v>2016</v>
      </c>
      <c r="E42" s="19" t="s">
        <v>162</v>
      </c>
      <c r="F42" s="19" t="s">
        <v>424</v>
      </c>
      <c r="G42" s="19" t="s">
        <v>766</v>
      </c>
      <c r="H42" s="19" t="s">
        <v>177</v>
      </c>
      <c r="I42" s="57" t="s">
        <v>121</v>
      </c>
      <c r="J42" s="57"/>
      <c r="K42" s="216"/>
      <c r="L42" s="171" t="s">
        <v>64</v>
      </c>
      <c r="M42" s="108" t="s">
        <v>139</v>
      </c>
      <c r="N42" s="109"/>
      <c r="O42" s="222">
        <v>3126</v>
      </c>
      <c r="P42" s="222">
        <f>Q42</f>
        <v>268450</v>
      </c>
      <c r="Q42" s="222">
        <v>268450</v>
      </c>
      <c r="R42" s="217">
        <f t="shared" ref="R42:R48" si="193">P42/AD42</f>
        <v>8948.3333333333339</v>
      </c>
      <c r="S42" s="222">
        <f t="shared" si="177"/>
        <v>85.876519513755596</v>
      </c>
      <c r="T42" s="223">
        <f t="shared" si="178"/>
        <v>85.876519513755596</v>
      </c>
      <c r="U42" s="223">
        <f t="shared" si="181"/>
        <v>100.22812211813815</v>
      </c>
      <c r="V42" s="223">
        <f t="shared" si="182"/>
        <v>8948.3333333333339</v>
      </c>
      <c r="W42" s="217">
        <f t="shared" si="183"/>
        <v>104.2</v>
      </c>
      <c r="X42" s="224">
        <v>1264.3499999999999</v>
      </c>
      <c r="Y42" s="225">
        <f t="shared" si="184"/>
        <v>0.85681062060140756</v>
      </c>
      <c r="Z42" s="224"/>
      <c r="AA42" s="568">
        <v>100</v>
      </c>
      <c r="AB42" s="569"/>
      <c r="AC42" s="19" t="s">
        <v>15</v>
      </c>
      <c r="AD42" s="342">
        <f t="shared" si="120"/>
        <v>30</v>
      </c>
      <c r="AE42" s="19">
        <v>30</v>
      </c>
      <c r="AF42" s="55"/>
      <c r="AG42" s="274"/>
      <c r="AH42" s="274"/>
      <c r="AI42" s="572">
        <v>2596.9</v>
      </c>
      <c r="AJ42" s="573">
        <v>2678.39</v>
      </c>
      <c r="AK42" s="10">
        <f t="shared" si="121"/>
        <v>89.279666666666657</v>
      </c>
      <c r="AL42" s="63">
        <v>0</v>
      </c>
      <c r="AM42" s="63">
        <v>0</v>
      </c>
      <c r="AN42" s="82">
        <f>16/AD42</f>
        <v>0.53333333333333333</v>
      </c>
      <c r="AO42" s="82">
        <f>12/AD42</f>
        <v>0.4</v>
      </c>
      <c r="AP42" s="82">
        <f>2/AD42</f>
        <v>6.6666666666666666E-2</v>
      </c>
      <c r="AQ42" s="572"/>
      <c r="AR42" s="80">
        <v>0</v>
      </c>
      <c r="AS42" s="82">
        <f>AR42/O42</f>
        <v>0</v>
      </c>
      <c r="AT42" s="61">
        <v>3</v>
      </c>
      <c r="AU42" s="59" t="s">
        <v>626</v>
      </c>
      <c r="AV42" s="19" t="s">
        <v>121</v>
      </c>
      <c r="AW42" s="253">
        <v>41667</v>
      </c>
      <c r="AX42" s="253">
        <v>41787</v>
      </c>
      <c r="AY42" s="112" t="s">
        <v>12</v>
      </c>
      <c r="AZ42" s="112" t="s">
        <v>240</v>
      </c>
      <c r="BA42" s="36" t="s">
        <v>172</v>
      </c>
      <c r="BB42" s="214">
        <v>42601</v>
      </c>
      <c r="BC42" s="101">
        <v>42626</v>
      </c>
      <c r="BD42" s="202" t="s">
        <v>345</v>
      </c>
      <c r="BE42" s="215" t="s">
        <v>467</v>
      </c>
      <c r="BF42" s="101">
        <v>42627</v>
      </c>
      <c r="BG42" s="169">
        <v>41932</v>
      </c>
      <c r="BH42" s="581">
        <v>42027</v>
      </c>
      <c r="BI42" s="174">
        <v>42117</v>
      </c>
      <c r="BJ42" s="174">
        <v>42074</v>
      </c>
      <c r="BK42" s="319">
        <v>42027</v>
      </c>
      <c r="BL42" s="319">
        <f>DATE(YEAR(BK42),MONTH(BK42)+36,DAY(BK42))</f>
        <v>43123</v>
      </c>
      <c r="BM42" s="319">
        <f>DATE(YEAR(BL42),MONTH(BL42)+12,DAY(BL42))</f>
        <v>43488</v>
      </c>
      <c r="BN42" s="319" t="str">
        <f>IF(CX42&gt;BM42,"oui","non")</f>
        <v>non</v>
      </c>
      <c r="BO42" s="169" t="s">
        <v>129</v>
      </c>
      <c r="BP42" s="37" t="s">
        <v>291</v>
      </c>
      <c r="BQ42" s="198" t="s">
        <v>344</v>
      </c>
      <c r="BR42" s="103"/>
      <c r="BS42" s="103"/>
      <c r="BT42" s="103"/>
      <c r="BU42" s="165" t="s">
        <v>72</v>
      </c>
      <c r="BV42" s="330">
        <v>42719</v>
      </c>
      <c r="BW42" s="266" t="s">
        <v>617</v>
      </c>
      <c r="BX42" s="166">
        <v>4997938.95</v>
      </c>
      <c r="BY42" s="302">
        <f>DATE(YEAR(BV42),MONTH(BV42)+18,DAY(BV42))</f>
        <v>43266</v>
      </c>
      <c r="BZ42" s="273">
        <f t="shared" si="185"/>
        <v>43449</v>
      </c>
      <c r="CA42" s="441">
        <v>42934</v>
      </c>
      <c r="CB42" s="273">
        <v>43235</v>
      </c>
      <c r="CC42" s="780">
        <f t="shared" ref="CC42:CC48" si="194">(CX42-CB42)/30</f>
        <v>2.0666666666666669</v>
      </c>
      <c r="CD42" s="82"/>
      <c r="CE42" s="451">
        <v>42780</v>
      </c>
      <c r="CF42" s="444">
        <v>2017</v>
      </c>
      <c r="CG42" s="602">
        <f t="shared" si="127"/>
        <v>5.9666666666666668</v>
      </c>
      <c r="CH42" s="254">
        <v>16</v>
      </c>
      <c r="CI42" s="254">
        <f t="shared" si="176"/>
        <v>17</v>
      </c>
      <c r="CJ42" s="255">
        <f t="shared" si="128"/>
        <v>16</v>
      </c>
      <c r="CK42" s="255">
        <f t="shared" si="129"/>
        <v>17</v>
      </c>
      <c r="CL42" s="255">
        <f t="shared" si="130"/>
        <v>0</v>
      </c>
      <c r="CM42" s="255">
        <f t="shared" si="131"/>
        <v>0</v>
      </c>
      <c r="CN42" s="246">
        <f>209322.88214303/12</f>
        <v>17443.573511919167</v>
      </c>
      <c r="CO42" s="245">
        <f t="shared" si="132"/>
        <v>0</v>
      </c>
      <c r="CP42" s="249">
        <v>42887</v>
      </c>
      <c r="CQ42" s="834">
        <f t="shared" si="133"/>
        <v>43265</v>
      </c>
      <c r="CR42" s="513">
        <f>DATE(YEAR(CE42),MONTH(CE42)+CH42,DAY(CE42))</f>
        <v>43265</v>
      </c>
      <c r="CS42" s="626">
        <f t="shared" si="134"/>
        <v>43664</v>
      </c>
      <c r="CT42" s="196"/>
      <c r="CU42" s="882" t="e">
        <f t="shared" si="135"/>
        <v>#NUM!</v>
      </c>
      <c r="CV42" s="122"/>
      <c r="CW42" s="749">
        <f>DATE(YEAR(CR42),MONTH(CR42),DAY(CR42)+15)</f>
        <v>43280</v>
      </c>
      <c r="CX42" s="513">
        <v>43297</v>
      </c>
      <c r="CY42" s="746"/>
      <c r="CZ42" s="122"/>
      <c r="DA42" s="127"/>
      <c r="DB42" s="127"/>
      <c r="DC42" s="127"/>
      <c r="DD42" s="127"/>
      <c r="DE42" s="127"/>
      <c r="DF42" s="57"/>
      <c r="DG42" s="296">
        <f t="shared" si="174"/>
        <v>43630</v>
      </c>
      <c r="DH42" s="57"/>
      <c r="DI42" s="57"/>
      <c r="DJ42" s="57"/>
      <c r="DK42" s="57"/>
      <c r="DL42" s="57"/>
      <c r="DM42" s="57"/>
      <c r="DN42" s="57"/>
      <c r="DO42" s="118"/>
      <c r="DP42" s="57"/>
      <c r="DQ42" s="57"/>
      <c r="DR42" s="57"/>
      <c r="DS42" s="57"/>
      <c r="DT42" s="126">
        <v>41548</v>
      </c>
      <c r="DU42" s="126">
        <v>41549</v>
      </c>
      <c r="DV42" s="126">
        <v>41564</v>
      </c>
      <c r="DW42" s="691">
        <f t="shared" si="136"/>
        <v>15</v>
      </c>
      <c r="DX42" s="126">
        <v>41679</v>
      </c>
      <c r="DY42" s="126">
        <v>41674</v>
      </c>
      <c r="DZ42" s="691">
        <f t="shared" si="137"/>
        <v>-5</v>
      </c>
      <c r="EA42" s="126">
        <v>41679</v>
      </c>
      <c r="EB42" s="126">
        <v>41697</v>
      </c>
      <c r="EC42" s="691">
        <f t="shared" si="138"/>
        <v>18</v>
      </c>
      <c r="ED42" s="126">
        <v>41753</v>
      </c>
      <c r="EE42" s="126">
        <v>41824</v>
      </c>
      <c r="EF42" s="691">
        <f t="shared" si="139"/>
        <v>71</v>
      </c>
      <c r="EG42" s="126">
        <v>41880</v>
      </c>
      <c r="EH42" s="126">
        <v>41920</v>
      </c>
      <c r="EI42" s="721">
        <f t="shared" si="140"/>
        <v>40</v>
      </c>
      <c r="EJ42" s="126">
        <v>42055</v>
      </c>
      <c r="EK42" s="126">
        <v>42177</v>
      </c>
      <c r="EL42" s="126">
        <v>42780</v>
      </c>
      <c r="EM42" s="721">
        <f t="shared" si="141"/>
        <v>603</v>
      </c>
      <c r="EN42" s="126">
        <v>42781</v>
      </c>
      <c r="EO42" s="126">
        <v>42781</v>
      </c>
      <c r="EP42" s="721">
        <f t="shared" si="142"/>
        <v>0</v>
      </c>
      <c r="EQ42" s="126">
        <v>42844</v>
      </c>
      <c r="ER42" s="126">
        <v>42844</v>
      </c>
      <c r="ES42" s="721">
        <f t="shared" si="143"/>
        <v>0</v>
      </c>
      <c r="ET42" s="126">
        <v>42916</v>
      </c>
      <c r="EU42" s="743">
        <v>42936</v>
      </c>
      <c r="EV42" s="744">
        <f t="shared" si="144"/>
        <v>20</v>
      </c>
      <c r="EW42" s="126">
        <v>43124</v>
      </c>
      <c r="EX42" s="126">
        <v>43084</v>
      </c>
      <c r="EY42" s="721">
        <f t="shared" si="145"/>
        <v>-40</v>
      </c>
      <c r="EZ42" s="701">
        <v>43182</v>
      </c>
      <c r="FA42" s="701">
        <f ca="1">IF(EZ42&lt;TODAY(),TODAY(),EZ42)</f>
        <v>43188</v>
      </c>
      <c r="FB42" s="697">
        <f t="shared" ca="1" si="146"/>
        <v>6</v>
      </c>
      <c r="FC42" s="867">
        <v>43161</v>
      </c>
      <c r="FD42" s="707"/>
      <c r="FE42" s="697" t="str">
        <f t="shared" si="147"/>
        <v>0</v>
      </c>
      <c r="FF42" s="701">
        <v>43180</v>
      </c>
      <c r="FG42" s="701"/>
      <c r="FH42" s="697" t="str">
        <f t="shared" si="148"/>
        <v>0</v>
      </c>
      <c r="FI42" s="701">
        <v>43196</v>
      </c>
      <c r="FJ42" s="703"/>
      <c r="FK42" s="697" t="str">
        <f t="shared" si="149"/>
        <v>0</v>
      </c>
      <c r="FL42" s="701">
        <v>43208</v>
      </c>
      <c r="FM42" s="701">
        <v>43209</v>
      </c>
      <c r="FN42" s="701">
        <v>43220</v>
      </c>
      <c r="FO42" s="701">
        <v>43266</v>
      </c>
      <c r="FP42" s="701">
        <f t="shared" si="187"/>
        <v>43265</v>
      </c>
      <c r="FQ42" s="699">
        <v>16.166666666666668</v>
      </c>
      <c r="FR42" s="701">
        <v>43284</v>
      </c>
      <c r="FS42" s="701">
        <f t="shared" si="188"/>
        <v>43297</v>
      </c>
      <c r="FT42" s="727">
        <v>0</v>
      </c>
      <c r="FU42" s="727">
        <v>0</v>
      </c>
      <c r="FV42" s="727">
        <v>310011</v>
      </c>
      <c r="FW42" s="727"/>
      <c r="FX42" s="728">
        <f t="shared" si="151"/>
        <v>24.733333333333334</v>
      </c>
      <c r="FY42" s="728">
        <f t="shared" si="152"/>
        <v>0.43333333333333335</v>
      </c>
      <c r="FZ42" s="724" t="s">
        <v>852</v>
      </c>
      <c r="GA42" s="741" t="s">
        <v>738</v>
      </c>
      <c r="GB42" s="724" t="s">
        <v>853</v>
      </c>
      <c r="GC42" s="724" t="s">
        <v>832</v>
      </c>
      <c r="GD42" s="113"/>
      <c r="GE42" s="117"/>
      <c r="GF42" s="21">
        <f>+GP42+GU42+HB42+HV42</f>
        <v>5088523.3381183296</v>
      </c>
      <c r="GG42" s="70">
        <f t="shared" si="189"/>
        <v>5227844.2</v>
      </c>
      <c r="GH42" s="48">
        <f t="shared" si="153"/>
        <v>139320.86188167054</v>
      </c>
      <c r="GI42" s="52">
        <f t="shared" si="154"/>
        <v>2013.1095536986406</v>
      </c>
      <c r="GJ42" s="52">
        <f t="shared" si="155"/>
        <v>174261.47333333333</v>
      </c>
      <c r="GK42" s="21">
        <v>4413122.1526051881</v>
      </c>
      <c r="GL42" s="585">
        <v>4142334</v>
      </c>
      <c r="GM42" s="48">
        <f t="shared" si="156"/>
        <v>-270788.15260518808</v>
      </c>
      <c r="GN42" s="135">
        <f t="shared" si="186"/>
        <v>0.80899943689982179</v>
      </c>
      <c r="GO42" s="136"/>
      <c r="GP42" s="21">
        <v>1541342.2781183291</v>
      </c>
      <c r="GQ42" s="918">
        <v>1638956.14</v>
      </c>
      <c r="GR42" s="925"/>
      <c r="GS42" s="920">
        <f t="shared" si="158"/>
        <v>54631.871333333329</v>
      </c>
      <c r="GT42" s="39">
        <f>GQ42-GP42</f>
        <v>97613.861881670775</v>
      </c>
      <c r="GU42" s="21">
        <f>GV42</f>
        <v>3296474.06</v>
      </c>
      <c r="GV42" s="585">
        <f>GW42+GX42</f>
        <v>3296474.06</v>
      </c>
      <c r="GW42" s="587">
        <v>618601</v>
      </c>
      <c r="GX42" s="14">
        <v>2677873.06</v>
      </c>
      <c r="GY42" s="39">
        <f t="shared" si="161"/>
        <v>0</v>
      </c>
      <c r="GZ42" s="888">
        <f t="shared" si="162"/>
        <v>109882.46866666667</v>
      </c>
      <c r="HA42" s="585">
        <v>0</v>
      </c>
      <c r="HB42" s="21">
        <v>250707</v>
      </c>
      <c r="HC42" s="12">
        <v>280000</v>
      </c>
      <c r="HD42" s="75">
        <v>0</v>
      </c>
      <c r="HE42" s="41">
        <f t="shared" si="163"/>
        <v>5.3559362002410092E-2</v>
      </c>
      <c r="HF42" s="326"/>
      <c r="HG42" s="585">
        <v>12414</v>
      </c>
      <c r="HH42" s="20">
        <f t="shared" si="164"/>
        <v>29293</v>
      </c>
      <c r="HI42" s="49">
        <f t="shared" si="165"/>
        <v>9333.3333333333339</v>
      </c>
      <c r="HJ42" s="84">
        <f t="shared" si="166"/>
        <v>63965.204666666665</v>
      </c>
      <c r="HK42" s="20">
        <f t="shared" si="190"/>
        <v>976.43333333333328</v>
      </c>
      <c r="HL42" s="51">
        <v>6.39</v>
      </c>
      <c r="HM42" s="51">
        <v>5.75</v>
      </c>
      <c r="HN42" s="588">
        <v>0</v>
      </c>
      <c r="HO42" s="588">
        <v>0</v>
      </c>
      <c r="HP42" s="49">
        <f t="shared" ref="HP42:HP48" si="195">(GQ42+HC42+HO42)/AD42</f>
        <v>63965.204666666665</v>
      </c>
      <c r="HQ42" s="588">
        <v>0</v>
      </c>
      <c r="HR42" s="49">
        <f t="shared" ref="HR42:HR48" si="196">(GQ42+HC42+HO42+HQ42)/AD42</f>
        <v>63965.204666666665</v>
      </c>
      <c r="HS42" s="53">
        <f t="shared" si="191"/>
        <v>0.37905933929335955</v>
      </c>
      <c r="HT42" s="588">
        <v>165428</v>
      </c>
      <c r="HU42" s="588"/>
      <c r="HV42" s="585">
        <f t="shared" si="192"/>
        <v>0</v>
      </c>
      <c r="HW42" s="42">
        <f t="shared" si="171"/>
        <v>5227844.2</v>
      </c>
      <c r="HX42" s="293">
        <v>265886</v>
      </c>
      <c r="HY42" s="293">
        <f>IA42+IC42+IE42+IG42+II42+IK42+IM42+IO42+IQ42+IS42+IU42+IW42+IY42+JA42+JC42+JE42+JG42+IY42</f>
        <v>224397</v>
      </c>
      <c r="HZ42" s="126"/>
      <c r="IA42" s="243">
        <v>24456</v>
      </c>
      <c r="IB42" s="243"/>
      <c r="IC42" s="118"/>
      <c r="ID42" s="118">
        <v>41697</v>
      </c>
      <c r="IE42" s="243">
        <v>12815</v>
      </c>
      <c r="IF42" s="118">
        <v>41676</v>
      </c>
      <c r="IG42" s="243">
        <v>26808</v>
      </c>
      <c r="IH42" s="118">
        <v>41815</v>
      </c>
      <c r="II42" s="243">
        <v>27980</v>
      </c>
      <c r="IJ42" s="119">
        <v>41942</v>
      </c>
      <c r="IK42" s="403">
        <v>39455</v>
      </c>
      <c r="IL42" s="338"/>
      <c r="IM42" s="338"/>
      <c r="IN42" s="126" t="s">
        <v>563</v>
      </c>
      <c r="IO42" s="243"/>
      <c r="IP42" s="126">
        <v>42726</v>
      </c>
      <c r="IQ42" s="243">
        <v>41091</v>
      </c>
      <c r="IR42" s="341">
        <v>42929</v>
      </c>
      <c r="IS42" s="405">
        <v>12636</v>
      </c>
      <c r="IT42" s="118">
        <v>43006</v>
      </c>
      <c r="IU42" s="119">
        <v>12634</v>
      </c>
      <c r="IV42" s="118">
        <v>43080</v>
      </c>
      <c r="IW42" s="119">
        <v>9678</v>
      </c>
      <c r="IX42" s="287">
        <v>43173</v>
      </c>
      <c r="IY42" s="286">
        <v>8422</v>
      </c>
      <c r="IZ42" s="286"/>
      <c r="JA42" s="286"/>
      <c r="JB42" s="62"/>
      <c r="JC42" s="125"/>
      <c r="JD42" s="56"/>
      <c r="JE42" s="125"/>
      <c r="JF42" s="125"/>
      <c r="JG42" s="56"/>
    </row>
    <row r="43" spans="1:267" s="33" customFormat="1" ht="24.95" customHeight="1">
      <c r="A43" s="926" t="s">
        <v>315</v>
      </c>
      <c r="B43" s="8" t="s">
        <v>40</v>
      </c>
      <c r="C43" s="8" t="s">
        <v>115</v>
      </c>
      <c r="D43" s="8">
        <v>2014</v>
      </c>
      <c r="E43" s="8" t="s">
        <v>161</v>
      </c>
      <c r="F43" s="8" t="s">
        <v>30</v>
      </c>
      <c r="G43" s="8" t="s">
        <v>519</v>
      </c>
      <c r="H43" s="19" t="s">
        <v>177</v>
      </c>
      <c r="I43" s="56"/>
      <c r="J43" s="56"/>
      <c r="K43" s="272" t="s">
        <v>421</v>
      </c>
      <c r="L43" s="171" t="s">
        <v>64</v>
      </c>
      <c r="M43" s="108" t="s">
        <v>139</v>
      </c>
      <c r="N43" s="109"/>
      <c r="O43" s="223">
        <v>2529</v>
      </c>
      <c r="P43" s="223">
        <f>Q43</f>
        <v>217810</v>
      </c>
      <c r="Q43" s="223">
        <v>217810</v>
      </c>
      <c r="R43" s="217">
        <f t="shared" si="193"/>
        <v>7260.333333333333</v>
      </c>
      <c r="S43" s="223">
        <f t="shared" si="177"/>
        <v>86.124950573349153</v>
      </c>
      <c r="T43" s="223">
        <f t="shared" si="178"/>
        <v>86.124950573349153</v>
      </c>
      <c r="U43" s="223">
        <f t="shared" si="181"/>
        <v>84.317900278724068</v>
      </c>
      <c r="V43" s="223">
        <f t="shared" si="182"/>
        <v>7260.333333333333</v>
      </c>
      <c r="W43" s="217">
        <f t="shared" si="183"/>
        <v>84.3</v>
      </c>
      <c r="X43" s="227">
        <f>523.3+554</f>
        <v>1077.3</v>
      </c>
      <c r="Y43" s="228">
        <f t="shared" si="184"/>
        <v>1.0214313958086199</v>
      </c>
      <c r="Z43" s="227"/>
      <c r="AA43" s="220">
        <v>110</v>
      </c>
      <c r="AB43" s="221"/>
      <c r="AC43" s="8" t="s">
        <v>16</v>
      </c>
      <c r="AD43" s="342">
        <f t="shared" si="120"/>
        <v>30</v>
      </c>
      <c r="AE43" s="9"/>
      <c r="AF43" s="8">
        <v>30</v>
      </c>
      <c r="AG43" s="56"/>
      <c r="AH43" s="56"/>
      <c r="AI43" s="10">
        <v>2546.5500000000002</v>
      </c>
      <c r="AJ43" s="85">
        <v>2583.1999999999998</v>
      </c>
      <c r="AK43" s="10">
        <f t="shared" si="121"/>
        <v>86.106666666666655</v>
      </c>
      <c r="AL43" s="81">
        <f>2/AD43</f>
        <v>6.6666666666666666E-2</v>
      </c>
      <c r="AM43" s="81">
        <f>12/AD43</f>
        <v>0.4</v>
      </c>
      <c r="AN43" s="81">
        <f>12/AD43</f>
        <v>0.4</v>
      </c>
      <c r="AO43" s="81">
        <f>3/AD43</f>
        <v>0.1</v>
      </c>
      <c r="AP43" s="81">
        <f>1/AD43</f>
        <v>3.3333333333333333E-2</v>
      </c>
      <c r="AQ43" s="10"/>
      <c r="AR43" s="79">
        <v>0</v>
      </c>
      <c r="AS43" s="81">
        <f>AR43/O43</f>
        <v>0</v>
      </c>
      <c r="AT43" s="60">
        <v>4</v>
      </c>
      <c r="AU43" s="59" t="s">
        <v>626</v>
      </c>
      <c r="AV43" s="8"/>
      <c r="AW43" s="194">
        <v>41667</v>
      </c>
      <c r="AX43" s="56"/>
      <c r="AY43" s="112" t="s">
        <v>11</v>
      </c>
      <c r="AZ43" s="112" t="s">
        <v>244</v>
      </c>
      <c r="BA43" s="36"/>
      <c r="BB43" s="214">
        <v>41890</v>
      </c>
      <c r="BC43" s="101"/>
      <c r="BD43" s="101" t="s">
        <v>129</v>
      </c>
      <c r="BE43" s="214">
        <v>42256</v>
      </c>
      <c r="BF43" s="101"/>
      <c r="BG43" s="169" t="s">
        <v>129</v>
      </c>
      <c r="BH43" s="212">
        <v>42262</v>
      </c>
      <c r="BI43" s="170">
        <v>42353</v>
      </c>
      <c r="BJ43" s="170">
        <v>42269</v>
      </c>
      <c r="BK43" s="320">
        <f t="shared" ref="BK43:BK48" si="197">BH43</f>
        <v>42262</v>
      </c>
      <c r="BL43" s="319">
        <f t="shared" ref="BL43:BL48" si="198">DATE(YEAR(BK43),MONTH(BK43)+24,DAY(BK43))</f>
        <v>42993</v>
      </c>
      <c r="BM43" s="319">
        <f t="shared" ref="BM43:BM48" si="199">DATE(YEAR(BK43),MONTH(BK43)+36,DAY(BK43))</f>
        <v>43358</v>
      </c>
      <c r="BN43" s="319" t="str">
        <f>IF(CX43&gt;BL43,"oui","non")</f>
        <v>oui</v>
      </c>
      <c r="BO43" s="169" t="s">
        <v>129</v>
      </c>
      <c r="BP43" s="37" t="s">
        <v>435</v>
      </c>
      <c r="BQ43" s="198" t="s">
        <v>434</v>
      </c>
      <c r="BR43" s="103" t="s">
        <v>364</v>
      </c>
      <c r="BS43" s="103">
        <v>42410</v>
      </c>
      <c r="BT43" s="103"/>
      <c r="BU43" s="165" t="s">
        <v>68</v>
      </c>
      <c r="BV43" s="330">
        <v>42725</v>
      </c>
      <c r="BW43" s="266" t="s">
        <v>617</v>
      </c>
      <c r="BX43" s="166">
        <v>4558993.83</v>
      </c>
      <c r="BY43" s="302">
        <f>DATE(YEAR(BV43),MONTH(BV43)+6,DAY(BV43))</f>
        <v>42907</v>
      </c>
      <c r="BZ43" s="273">
        <v>42908</v>
      </c>
      <c r="CA43" s="441">
        <v>42907</v>
      </c>
      <c r="CB43" s="273">
        <f>DATE(YEAR(BV43),MONTH(BV43)+24,DAY(BV43))</f>
        <v>43455</v>
      </c>
      <c r="CC43" s="780">
        <f t="shared" si="194"/>
        <v>-4.7</v>
      </c>
      <c r="CD43" s="81"/>
      <c r="CE43" s="448">
        <v>42772</v>
      </c>
      <c r="CF43" s="444">
        <v>2017</v>
      </c>
      <c r="CG43" s="602">
        <f t="shared" si="127"/>
        <v>29.4</v>
      </c>
      <c r="CH43" s="254">
        <v>16</v>
      </c>
      <c r="CI43" s="254">
        <f t="shared" si="176"/>
        <v>17</v>
      </c>
      <c r="CJ43" s="255">
        <f t="shared" si="128"/>
        <v>16</v>
      </c>
      <c r="CK43" s="255">
        <f t="shared" si="129"/>
        <v>17</v>
      </c>
      <c r="CL43" s="255">
        <f t="shared" si="130"/>
        <v>0</v>
      </c>
      <c r="CM43" s="255">
        <f t="shared" si="131"/>
        <v>0</v>
      </c>
      <c r="CN43" s="246">
        <f>154560.988069324/12</f>
        <v>12880.082339110333</v>
      </c>
      <c r="CO43" s="245">
        <f t="shared" si="132"/>
        <v>0</v>
      </c>
      <c r="CP43" s="248">
        <v>42702</v>
      </c>
      <c r="CQ43" s="626">
        <f t="shared" si="133"/>
        <v>43257</v>
      </c>
      <c r="CR43" s="513">
        <v>43270</v>
      </c>
      <c r="CS43" s="626">
        <f t="shared" si="134"/>
        <v>43637</v>
      </c>
      <c r="CT43" s="196"/>
      <c r="CU43" s="882" t="e">
        <f t="shared" si="135"/>
        <v>#NUM!</v>
      </c>
      <c r="CV43" s="122"/>
      <c r="CW43" s="749">
        <f>DATE(YEAR(CR43),MONTH(CR43)+1,DAY(CR43))</f>
        <v>43300</v>
      </c>
      <c r="CX43" s="513">
        <v>43314</v>
      </c>
      <c r="CY43" s="746"/>
      <c r="CZ43" s="122"/>
      <c r="DA43" s="125"/>
      <c r="DB43" s="125"/>
      <c r="DC43" s="125"/>
      <c r="DD43" s="125"/>
      <c r="DE43" s="125"/>
      <c r="DF43" s="56"/>
      <c r="DG43" s="296">
        <f t="shared" si="174"/>
        <v>43635</v>
      </c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126">
        <v>41543</v>
      </c>
      <c r="DU43" s="126">
        <v>41544</v>
      </c>
      <c r="DV43" s="126">
        <v>41554</v>
      </c>
      <c r="DW43" s="691">
        <f t="shared" si="136"/>
        <v>10</v>
      </c>
      <c r="DX43" s="126">
        <v>41676</v>
      </c>
      <c r="DY43" s="126">
        <v>41625</v>
      </c>
      <c r="DZ43" s="691">
        <f t="shared" si="137"/>
        <v>-51</v>
      </c>
      <c r="EA43" s="126">
        <v>41708</v>
      </c>
      <c r="EB43" s="126">
        <v>41708</v>
      </c>
      <c r="EC43" s="691">
        <f t="shared" si="138"/>
        <v>0</v>
      </c>
      <c r="ED43" s="126">
        <v>41835</v>
      </c>
      <c r="EE43" s="126">
        <v>41835</v>
      </c>
      <c r="EF43" s="691">
        <f t="shared" si="139"/>
        <v>0</v>
      </c>
      <c r="EG43" s="126">
        <v>41892</v>
      </c>
      <c r="EH43" s="126">
        <v>41892</v>
      </c>
      <c r="EI43" s="691">
        <f t="shared" si="140"/>
        <v>0</v>
      </c>
      <c r="EJ43" s="126">
        <v>42055</v>
      </c>
      <c r="EK43" s="126">
        <v>42368</v>
      </c>
      <c r="EL43" s="126">
        <v>42772</v>
      </c>
      <c r="EM43" s="691">
        <f t="shared" si="141"/>
        <v>404</v>
      </c>
      <c r="EN43" s="126">
        <v>42787</v>
      </c>
      <c r="EO43" s="126">
        <v>42773</v>
      </c>
      <c r="EP43" s="691">
        <f t="shared" si="142"/>
        <v>-14</v>
      </c>
      <c r="EQ43" s="126">
        <v>42839</v>
      </c>
      <c r="ER43" s="126">
        <v>42839</v>
      </c>
      <c r="ES43" s="691">
        <f t="shared" si="143"/>
        <v>0</v>
      </c>
      <c r="ET43" s="693">
        <v>42908</v>
      </c>
      <c r="EU43" s="692">
        <v>42907</v>
      </c>
      <c r="EV43" s="694">
        <f t="shared" si="144"/>
        <v>-1</v>
      </c>
      <c r="EW43" s="693">
        <v>43144</v>
      </c>
      <c r="EX43" s="693">
        <v>43088</v>
      </c>
      <c r="EY43" s="691">
        <f t="shared" si="145"/>
        <v>-56</v>
      </c>
      <c r="EZ43" s="701">
        <v>43189</v>
      </c>
      <c r="FA43" s="701">
        <v>43189</v>
      </c>
      <c r="FB43" s="697">
        <f t="shared" si="146"/>
        <v>0</v>
      </c>
      <c r="FC43" s="701">
        <v>43147</v>
      </c>
      <c r="FD43" s="701">
        <v>43149</v>
      </c>
      <c r="FE43" s="697">
        <f t="shared" si="147"/>
        <v>2</v>
      </c>
      <c r="FF43" s="701">
        <v>43168</v>
      </c>
      <c r="FG43" s="701">
        <v>43168</v>
      </c>
      <c r="FH43" s="697">
        <f t="shared" si="148"/>
        <v>0</v>
      </c>
      <c r="FI43" s="701">
        <v>43238</v>
      </c>
      <c r="FJ43" s="701">
        <v>43238</v>
      </c>
      <c r="FK43" s="697">
        <f t="shared" si="149"/>
        <v>0</v>
      </c>
      <c r="FL43" s="701">
        <v>43224</v>
      </c>
      <c r="FM43" s="701">
        <v>43224</v>
      </c>
      <c r="FN43" s="701">
        <v>43160</v>
      </c>
      <c r="FO43" s="701">
        <v>43270</v>
      </c>
      <c r="FP43" s="701">
        <f t="shared" si="187"/>
        <v>43270</v>
      </c>
      <c r="FQ43" s="699">
        <f t="shared" ref="FQ43:FQ48" si="200">(DATEDIF(EO43,FO43,"d"))/30</f>
        <v>16.566666666666666</v>
      </c>
      <c r="FR43" s="701">
        <v>43287</v>
      </c>
      <c r="FS43" s="701">
        <f t="shared" si="188"/>
        <v>43314</v>
      </c>
      <c r="FT43" s="727">
        <v>0</v>
      </c>
      <c r="FU43" s="727">
        <v>0</v>
      </c>
      <c r="FV43" s="727">
        <v>99194.95</v>
      </c>
      <c r="FW43" s="727"/>
      <c r="FX43" s="728">
        <f t="shared" si="151"/>
        <v>11.633333333333333</v>
      </c>
      <c r="FY43" s="728">
        <f t="shared" si="152"/>
        <v>0.9</v>
      </c>
      <c r="FZ43" s="725" t="s">
        <v>830</v>
      </c>
      <c r="GA43" s="725"/>
      <c r="GB43" s="725" t="s">
        <v>831</v>
      </c>
      <c r="GC43" s="726" t="s">
        <v>832</v>
      </c>
      <c r="GD43" s="113"/>
      <c r="GE43" s="117"/>
      <c r="GF43" s="11">
        <f>+GP43+GU43+HB43+HV43</f>
        <v>4943575.0199999996</v>
      </c>
      <c r="GG43" s="70">
        <f t="shared" si="189"/>
        <v>4768708</v>
      </c>
      <c r="GH43" s="13">
        <f t="shared" si="153"/>
        <v>-174867.01999999955</v>
      </c>
      <c r="GI43" s="52">
        <f t="shared" si="154"/>
        <v>1872.6151067130038</v>
      </c>
      <c r="GJ43" s="52">
        <f t="shared" si="155"/>
        <v>158956.93333333332</v>
      </c>
      <c r="GK43" s="11">
        <v>4386257</v>
      </c>
      <c r="GL43" s="12">
        <v>3720168</v>
      </c>
      <c r="GM43" s="13">
        <f t="shared" si="156"/>
        <v>-666089</v>
      </c>
      <c r="GN43" s="135">
        <f t="shared" si="186"/>
        <v>0.7965032725845238</v>
      </c>
      <c r="GO43" s="136"/>
      <c r="GP43" s="11">
        <v>1393063.02</v>
      </c>
      <c r="GQ43" s="917">
        <v>1462622</v>
      </c>
      <c r="GR43" s="925"/>
      <c r="GS43" s="920">
        <f t="shared" si="158"/>
        <v>48754.066666666666</v>
      </c>
      <c r="GT43" s="38">
        <f>GQ43-GP43</f>
        <v>69558.979999999981</v>
      </c>
      <c r="GU43" s="11">
        <v>2950512</v>
      </c>
      <c r="GV43" s="12">
        <f>+GW43+GX43</f>
        <v>2706086</v>
      </c>
      <c r="GW43" s="14">
        <v>461009</v>
      </c>
      <c r="GX43" s="14">
        <v>2245077</v>
      </c>
      <c r="GY43" s="38">
        <f t="shared" si="161"/>
        <v>-244426</v>
      </c>
      <c r="GZ43" s="888">
        <f t="shared" si="162"/>
        <v>90202.866666666669</v>
      </c>
      <c r="HA43" s="12"/>
      <c r="HB43" s="11">
        <v>600000</v>
      </c>
      <c r="HC43" s="785">
        <v>600000</v>
      </c>
      <c r="HD43" s="74">
        <v>0</v>
      </c>
      <c r="HE43" s="41">
        <f t="shared" si="163"/>
        <v>0.12582024313503784</v>
      </c>
      <c r="HF43" s="326"/>
      <c r="HG43" s="12">
        <v>0</v>
      </c>
      <c r="HH43" s="23">
        <f t="shared" si="164"/>
        <v>0</v>
      </c>
      <c r="HI43" s="49">
        <f t="shared" si="165"/>
        <v>20000</v>
      </c>
      <c r="HJ43" s="84">
        <f t="shared" si="166"/>
        <v>68754.066666666666</v>
      </c>
      <c r="HK43" s="20">
        <f t="shared" si="190"/>
        <v>0</v>
      </c>
      <c r="HL43" s="51">
        <v>6.29</v>
      </c>
      <c r="HM43" s="51">
        <v>6.16</v>
      </c>
      <c r="HN43" s="588">
        <v>0</v>
      </c>
      <c r="HO43" s="588">
        <v>0</v>
      </c>
      <c r="HP43" s="49">
        <f t="shared" si="195"/>
        <v>68754.066666666666</v>
      </c>
      <c r="HQ43" s="588">
        <v>0</v>
      </c>
      <c r="HR43" s="49">
        <f t="shared" si="196"/>
        <v>68754.066666666666</v>
      </c>
      <c r="HS43" s="53">
        <f t="shared" si="191"/>
        <v>0.43253266922613004</v>
      </c>
      <c r="HT43" s="588">
        <v>0</v>
      </c>
      <c r="HU43" s="588"/>
      <c r="HV43" s="585">
        <f t="shared" si="192"/>
        <v>0</v>
      </c>
      <c r="HW43" s="42">
        <f t="shared" si="171"/>
        <v>4768708</v>
      </c>
      <c r="HX43" s="293">
        <v>231904</v>
      </c>
      <c r="HY43" s="293">
        <f t="shared" ref="HY43:HY48" si="201">IA43+IC43+IE43+IG43+II43+IK43+IM43+IO43+IQ43+IS43+IU43+IW43+IY43+JA43+JC43+JE43+JG43</f>
        <v>185523</v>
      </c>
      <c r="HZ43" s="118">
        <v>41627</v>
      </c>
      <c r="IA43" s="243">
        <v>47620</v>
      </c>
      <c r="IB43" s="126"/>
      <c r="IC43" s="118"/>
      <c r="ID43" s="118">
        <v>38045</v>
      </c>
      <c r="IE43" s="243">
        <v>12520</v>
      </c>
      <c r="IF43" s="118"/>
      <c r="IG43" s="243"/>
      <c r="IH43" s="133">
        <v>41820</v>
      </c>
      <c r="II43" s="243">
        <v>24983</v>
      </c>
      <c r="IJ43" s="126">
        <v>41990</v>
      </c>
      <c r="IK43" s="403">
        <v>36513</v>
      </c>
      <c r="IL43" s="338"/>
      <c r="IM43" s="338"/>
      <c r="IN43" s="126">
        <v>42727</v>
      </c>
      <c r="IO43" s="243"/>
      <c r="IP43" s="126">
        <v>42727</v>
      </c>
      <c r="IQ43" s="243">
        <v>28342</v>
      </c>
      <c r="IR43" s="118">
        <v>42907</v>
      </c>
      <c r="IS43" s="243">
        <v>11537</v>
      </c>
      <c r="IT43" s="118">
        <v>42971</v>
      </c>
      <c r="IU43" s="243">
        <v>11375</v>
      </c>
      <c r="IV43" s="118">
        <v>43160</v>
      </c>
      <c r="IW43" s="119">
        <v>12633</v>
      </c>
      <c r="IX43" s="286"/>
      <c r="IY43" s="286"/>
      <c r="IZ43" s="286"/>
      <c r="JA43" s="286"/>
      <c r="JB43" s="243"/>
      <c r="JC43" s="126"/>
      <c r="JD43" s="119"/>
      <c r="JE43" s="126"/>
      <c r="JF43" s="126"/>
      <c r="JG43" s="119"/>
    </row>
    <row r="44" spans="1:267" ht="24.95" customHeight="1">
      <c r="A44" s="900" t="s">
        <v>445</v>
      </c>
      <c r="B44" s="8" t="s">
        <v>48</v>
      </c>
      <c r="C44" s="8" t="s">
        <v>114</v>
      </c>
      <c r="D44" s="8">
        <v>2015</v>
      </c>
      <c r="E44" s="8" t="s">
        <v>264</v>
      </c>
      <c r="F44" s="8" t="s">
        <v>334</v>
      </c>
      <c r="G44" s="8" t="s">
        <v>185</v>
      </c>
      <c r="H44" s="848" t="s">
        <v>177</v>
      </c>
      <c r="I44" s="58"/>
      <c r="J44" s="56"/>
      <c r="K44" s="272" t="s">
        <v>420</v>
      </c>
      <c r="L44" s="171" t="s">
        <v>69</v>
      </c>
      <c r="M44" s="108" t="s">
        <v>145</v>
      </c>
      <c r="N44" s="109"/>
      <c r="O44" s="217">
        <v>1767</v>
      </c>
      <c r="P44" s="217">
        <v>210000</v>
      </c>
      <c r="Q44" s="217">
        <v>210000</v>
      </c>
      <c r="R44" s="217">
        <f t="shared" si="193"/>
        <v>11666.666666666666</v>
      </c>
      <c r="S44" s="217">
        <f t="shared" si="177"/>
        <v>118.84550084889644</v>
      </c>
      <c r="T44" s="223">
        <f t="shared" si="178"/>
        <v>118.84550084889644</v>
      </c>
      <c r="U44" s="223">
        <f t="shared" si="181"/>
        <v>122.68720021966851</v>
      </c>
      <c r="V44" s="223">
        <f t="shared" si="182"/>
        <v>11666.666666666666</v>
      </c>
      <c r="W44" s="217">
        <f t="shared" si="183"/>
        <v>98.166666666666671</v>
      </c>
      <c r="X44" s="218"/>
      <c r="Y44" s="219">
        <f t="shared" si="184"/>
        <v>0.96868704018109797</v>
      </c>
      <c r="Z44" s="218" t="s">
        <v>274</v>
      </c>
      <c r="AA44" s="220">
        <v>200</v>
      </c>
      <c r="AB44" s="221"/>
      <c r="AC44" s="19" t="s">
        <v>16</v>
      </c>
      <c r="AD44" s="342">
        <f t="shared" si="120"/>
        <v>18</v>
      </c>
      <c r="AE44" s="9"/>
      <c r="AF44" s="8">
        <v>18</v>
      </c>
      <c r="AG44" s="56"/>
      <c r="AH44" s="56"/>
      <c r="AI44" s="10">
        <v>1709.55</v>
      </c>
      <c r="AJ44" s="573">
        <v>1711.67</v>
      </c>
      <c r="AK44" s="10">
        <f t="shared" si="121"/>
        <v>95.092777777777783</v>
      </c>
      <c r="AL44" s="81">
        <v>0</v>
      </c>
      <c r="AM44" s="81">
        <v>0</v>
      </c>
      <c r="AN44" s="81">
        <f>10/AD44</f>
        <v>0.55555555555555558</v>
      </c>
      <c r="AO44" s="81">
        <f>4/AD44</f>
        <v>0.22222222222222221</v>
      </c>
      <c r="AP44" s="81">
        <f>4/AD44</f>
        <v>0.22222222222222221</v>
      </c>
      <c r="AQ44" s="10"/>
      <c r="AR44" s="79">
        <v>0</v>
      </c>
      <c r="AS44" s="81">
        <v>0</v>
      </c>
      <c r="AT44" s="60">
        <v>3</v>
      </c>
      <c r="AU44" s="59" t="s">
        <v>626</v>
      </c>
      <c r="AV44" s="8" t="s">
        <v>121</v>
      </c>
      <c r="AW44" s="194">
        <v>41920</v>
      </c>
      <c r="AX44" s="56"/>
      <c r="AY44" s="112" t="s">
        <v>11</v>
      </c>
      <c r="AZ44" s="112" t="s">
        <v>283</v>
      </c>
      <c r="BA44" s="36"/>
      <c r="BB44" s="214">
        <v>42320</v>
      </c>
      <c r="BC44" s="101"/>
      <c r="BD44" s="101">
        <v>42573</v>
      </c>
      <c r="BE44" s="214">
        <v>42607</v>
      </c>
      <c r="BF44" s="101">
        <v>42607</v>
      </c>
      <c r="BG44" s="169">
        <v>42608</v>
      </c>
      <c r="BH44" s="212">
        <v>42620</v>
      </c>
      <c r="BI44" s="170">
        <v>42711</v>
      </c>
      <c r="BJ44" s="170">
        <v>42648</v>
      </c>
      <c r="BK44" s="320">
        <f t="shared" si="197"/>
        <v>42620</v>
      </c>
      <c r="BL44" s="319">
        <f t="shared" si="198"/>
        <v>43350</v>
      </c>
      <c r="BM44" s="319">
        <f t="shared" si="199"/>
        <v>43715</v>
      </c>
      <c r="BN44" s="319" t="str">
        <f>IF(CX44&gt;BL44,"oui","non")</f>
        <v>non</v>
      </c>
      <c r="BO44" s="169">
        <v>42627</v>
      </c>
      <c r="BP44" s="169">
        <v>42725</v>
      </c>
      <c r="BQ44" s="308"/>
      <c r="BR44" s="307"/>
      <c r="BS44" s="103">
        <v>42725</v>
      </c>
      <c r="BT44" s="307"/>
      <c r="BU44" s="165" t="s">
        <v>145</v>
      </c>
      <c r="BV44" s="330">
        <v>42719</v>
      </c>
      <c r="BW44" s="266" t="s">
        <v>617</v>
      </c>
      <c r="BX44" s="166">
        <f>3299575.14/1.021</f>
        <v>3231709.2458374146</v>
      </c>
      <c r="BY44" s="302">
        <f>DATE(YEAR(BV44),MONTH(BV44)+18,DAY(BV44))</f>
        <v>43266</v>
      </c>
      <c r="BZ44" s="273">
        <f>DATE(YEAR(BV44),MONTH(BV44)+24,DAY(BV44))</f>
        <v>43449</v>
      </c>
      <c r="CA44" s="266"/>
      <c r="CB44" s="273">
        <v>43449</v>
      </c>
      <c r="CC44" s="780">
        <f t="shared" si="194"/>
        <v>-3.5666666666666669</v>
      </c>
      <c r="CD44" s="615"/>
      <c r="CE44" s="451">
        <v>42772</v>
      </c>
      <c r="CF44" s="444">
        <v>2017</v>
      </c>
      <c r="CG44" s="602">
        <f t="shared" si="127"/>
        <v>15.066666666666666</v>
      </c>
      <c r="CH44" s="408">
        <v>16</v>
      </c>
      <c r="CI44" s="408">
        <f t="shared" si="176"/>
        <v>17</v>
      </c>
      <c r="CJ44" s="255">
        <f t="shared" si="128"/>
        <v>18</v>
      </c>
      <c r="CK44" s="255">
        <f t="shared" si="129"/>
        <v>18</v>
      </c>
      <c r="CL44" s="255">
        <f t="shared" si="130"/>
        <v>2</v>
      </c>
      <c r="CM44" s="255">
        <f t="shared" si="131"/>
        <v>1</v>
      </c>
      <c r="CN44" s="261"/>
      <c r="CO44" s="836">
        <f t="shared" si="132"/>
        <v>0</v>
      </c>
      <c r="CP44" s="253">
        <v>42879</v>
      </c>
      <c r="CQ44" s="834">
        <f t="shared" si="133"/>
        <v>43257</v>
      </c>
      <c r="CR44" s="513">
        <v>43328</v>
      </c>
      <c r="CS44" s="626">
        <f t="shared" si="134"/>
        <v>731</v>
      </c>
      <c r="CT44" s="196"/>
      <c r="CU44" s="882" t="e">
        <f t="shared" si="135"/>
        <v>#NUM!</v>
      </c>
      <c r="CV44" s="122"/>
      <c r="CW44" s="749">
        <v>43329</v>
      </c>
      <c r="CX44" s="513">
        <v>43342</v>
      </c>
      <c r="CY44" s="746"/>
      <c r="CZ44" s="122"/>
      <c r="DA44" s="125"/>
      <c r="DB44" s="125"/>
      <c r="DC44" s="125"/>
      <c r="DD44" s="125"/>
      <c r="DE44" s="125"/>
      <c r="DF44" s="56"/>
      <c r="DG44" s="296">
        <f t="shared" si="174"/>
        <v>43693</v>
      </c>
      <c r="DH44" s="56"/>
      <c r="DI44" s="56"/>
      <c r="DJ44" s="56"/>
      <c r="DK44" s="56"/>
      <c r="DL44" s="56"/>
      <c r="DM44" s="56"/>
      <c r="DN44" s="56"/>
      <c r="DO44" s="118"/>
      <c r="DP44" s="56"/>
      <c r="DQ44" s="56"/>
      <c r="DR44" s="56"/>
      <c r="DS44" s="56"/>
      <c r="DT44" s="126">
        <v>41813</v>
      </c>
      <c r="DU44" s="126">
        <v>41814</v>
      </c>
      <c r="DV44" s="126">
        <v>41813</v>
      </c>
      <c r="DW44" s="691">
        <f t="shared" si="136"/>
        <v>-1</v>
      </c>
      <c r="DX44" s="126">
        <v>42027</v>
      </c>
      <c r="DY44" s="126">
        <v>41996</v>
      </c>
      <c r="DZ44" s="691">
        <f t="shared" si="137"/>
        <v>-31</v>
      </c>
      <c r="EA44" s="126">
        <v>42026</v>
      </c>
      <c r="EB44" s="126">
        <v>42038</v>
      </c>
      <c r="EC44" s="691">
        <f t="shared" si="138"/>
        <v>12</v>
      </c>
      <c r="ED44" s="126">
        <v>42078</v>
      </c>
      <c r="EE44" s="126">
        <v>42128</v>
      </c>
      <c r="EF44" s="691">
        <f t="shared" si="139"/>
        <v>50</v>
      </c>
      <c r="EG44" s="126">
        <v>42186</v>
      </c>
      <c r="EH44" s="126">
        <v>42254</v>
      </c>
      <c r="EI44" s="691">
        <f t="shared" si="140"/>
        <v>68</v>
      </c>
      <c r="EJ44" s="126">
        <v>42472</v>
      </c>
      <c r="EK44" s="126">
        <v>42695</v>
      </c>
      <c r="EL44" s="126">
        <v>42769</v>
      </c>
      <c r="EM44" s="691">
        <f t="shared" si="141"/>
        <v>74</v>
      </c>
      <c r="EN44" s="126">
        <v>42783</v>
      </c>
      <c r="EO44" s="126">
        <v>42772</v>
      </c>
      <c r="EP44" s="691">
        <f t="shared" si="142"/>
        <v>-11</v>
      </c>
      <c r="EQ44" s="126">
        <v>42800</v>
      </c>
      <c r="ER44" s="126">
        <v>42867</v>
      </c>
      <c r="ES44" s="691">
        <f t="shared" si="143"/>
        <v>67</v>
      </c>
      <c r="ET44" s="126">
        <v>42899</v>
      </c>
      <c r="EU44" s="743">
        <v>42923</v>
      </c>
      <c r="EV44" s="694">
        <f t="shared" si="144"/>
        <v>24</v>
      </c>
      <c r="EW44" s="126">
        <v>43068</v>
      </c>
      <c r="EX44" s="126">
        <v>43064</v>
      </c>
      <c r="EY44" s="691">
        <f t="shared" si="145"/>
        <v>-4</v>
      </c>
      <c r="EZ44" s="701">
        <v>43082</v>
      </c>
      <c r="FA44" s="701">
        <f ca="1">IF(EZ44&lt;TODAY(),TODAY(),EZ44)</f>
        <v>43188</v>
      </c>
      <c r="FB44" s="697">
        <f t="shared" ca="1" si="146"/>
        <v>106</v>
      </c>
      <c r="FC44" s="701">
        <v>43136</v>
      </c>
      <c r="FD44" s="701">
        <f ca="1">IF(FC44&lt;TODAY(),TODAY(),FC44)</f>
        <v>43188</v>
      </c>
      <c r="FE44" s="697">
        <f t="shared" ca="1" si="147"/>
        <v>52</v>
      </c>
      <c r="FF44" s="701">
        <v>43216</v>
      </c>
      <c r="FG44" s="701">
        <f ca="1">IF(FF44&lt;TODAY(),TODAY(),FF44)</f>
        <v>43216</v>
      </c>
      <c r="FH44" s="697">
        <f t="shared" ca="1" si="148"/>
        <v>0</v>
      </c>
      <c r="FI44" s="701">
        <v>43244</v>
      </c>
      <c r="FJ44" s="701">
        <f ca="1">IF(FI44&lt;TODAY(),TODAY(),FI44)</f>
        <v>43244</v>
      </c>
      <c r="FK44" s="697">
        <f t="shared" ca="1" si="149"/>
        <v>0</v>
      </c>
      <c r="FL44" s="701"/>
      <c r="FM44" s="701"/>
      <c r="FN44" s="701"/>
      <c r="FO44" s="701">
        <v>43252</v>
      </c>
      <c r="FP44" s="701">
        <f t="shared" si="187"/>
        <v>43328</v>
      </c>
      <c r="FQ44" s="699">
        <f t="shared" si="200"/>
        <v>16</v>
      </c>
      <c r="FR44" s="701">
        <v>43280</v>
      </c>
      <c r="FS44" s="701">
        <f t="shared" si="188"/>
        <v>43342</v>
      </c>
      <c r="FT44" s="727"/>
      <c r="FU44" s="727">
        <v>0</v>
      </c>
      <c r="FV44" s="727">
        <v>174061.74</v>
      </c>
      <c r="FW44" s="727"/>
      <c r="FX44" s="728">
        <f t="shared" si="151"/>
        <v>5.3666666666666663</v>
      </c>
      <c r="FY44" s="728">
        <f t="shared" si="152"/>
        <v>2.0666666666666669</v>
      </c>
      <c r="FZ44" s="724" t="s">
        <v>840</v>
      </c>
      <c r="GA44" s="741"/>
      <c r="GB44" s="741" t="s">
        <v>846</v>
      </c>
      <c r="GC44" s="741" t="s">
        <v>850</v>
      </c>
      <c r="GD44" s="113"/>
      <c r="GE44" s="117"/>
      <c r="GF44" s="11">
        <f>GP44+GU44+HB44</f>
        <v>3425875.7637468651</v>
      </c>
      <c r="GG44" s="70">
        <f t="shared" si="189"/>
        <v>3413701</v>
      </c>
      <c r="GH44" s="13">
        <f t="shared" si="153"/>
        <v>-12174.763746865094</v>
      </c>
      <c r="GI44" s="52">
        <f t="shared" si="154"/>
        <v>1996.8418589687344</v>
      </c>
      <c r="GJ44" s="52">
        <f t="shared" si="155"/>
        <v>189650.05555555556</v>
      </c>
      <c r="GK44" s="11">
        <v>3100225</v>
      </c>
      <c r="GL44" s="12">
        <v>2697771.947337376</v>
      </c>
      <c r="GM44" s="13">
        <f t="shared" si="156"/>
        <v>-402453.05266262405</v>
      </c>
      <c r="GN44" s="135">
        <f t="shared" si="186"/>
        <v>0.80687358331367054</v>
      </c>
      <c r="GO44" s="137">
        <v>0.39772600000000002</v>
      </c>
      <c r="GP44" s="11">
        <v>1068687.828</v>
      </c>
      <c r="GQ44" s="917">
        <v>982780</v>
      </c>
      <c r="GR44" s="925"/>
      <c r="GS44" s="920">
        <f t="shared" si="158"/>
        <v>54598.888888888891</v>
      </c>
      <c r="GT44" s="38">
        <f>GQ44-GP44</f>
        <v>-85907.82799999998</v>
      </c>
      <c r="GU44" s="11">
        <v>1997187.9357468651</v>
      </c>
      <c r="GV44" s="12">
        <f>SUBTOTAL(9,GW44:GX44)</f>
        <v>2024741</v>
      </c>
      <c r="GW44" s="14">
        <v>334225</v>
      </c>
      <c r="GX44" s="14">
        <v>1690516</v>
      </c>
      <c r="GY44" s="38">
        <f t="shared" si="161"/>
        <v>27553.064253134886</v>
      </c>
      <c r="GZ44" s="888">
        <f t="shared" si="162"/>
        <v>112485.61111111111</v>
      </c>
      <c r="HA44" s="12"/>
      <c r="HB44" s="11">
        <v>360000</v>
      </c>
      <c r="HC44" s="12">
        <v>360000</v>
      </c>
      <c r="HD44" s="70"/>
      <c r="HE44" s="41">
        <f t="shared" si="163"/>
        <v>0.10545739067364131</v>
      </c>
      <c r="HF44" s="326"/>
      <c r="HG44" s="12">
        <f>12846+33334</f>
        <v>46180</v>
      </c>
      <c r="HH44" s="23">
        <f t="shared" si="164"/>
        <v>0</v>
      </c>
      <c r="HI44" s="22">
        <f t="shared" si="165"/>
        <v>20000</v>
      </c>
      <c r="HJ44" s="84">
        <f t="shared" si="166"/>
        <v>74598.888888888891</v>
      </c>
      <c r="HK44" s="23">
        <f t="shared" si="190"/>
        <v>0</v>
      </c>
      <c r="HL44" s="51">
        <v>5.0199999999999996</v>
      </c>
      <c r="HM44" s="51">
        <v>4.8499999999999996</v>
      </c>
      <c r="HN44" s="40">
        <v>0</v>
      </c>
      <c r="HO44" s="40">
        <v>0</v>
      </c>
      <c r="HP44" s="22">
        <f t="shared" si="195"/>
        <v>74598.888888888891</v>
      </c>
      <c r="HQ44" s="40">
        <v>0</v>
      </c>
      <c r="HR44" s="22">
        <f t="shared" si="196"/>
        <v>74598.888888888891</v>
      </c>
      <c r="HS44" s="53">
        <f t="shared" si="191"/>
        <v>0.39335020846875574</v>
      </c>
      <c r="HT44" s="40">
        <v>0</v>
      </c>
      <c r="HU44" s="40"/>
      <c r="HV44" s="12">
        <f t="shared" si="192"/>
        <v>0</v>
      </c>
      <c r="HW44" s="42">
        <f t="shared" si="171"/>
        <v>3413701</v>
      </c>
      <c r="HX44" s="293">
        <v>167759</v>
      </c>
      <c r="HY44" s="293">
        <f t="shared" si="201"/>
        <v>134207</v>
      </c>
      <c r="HZ44" s="118">
        <v>41941</v>
      </c>
      <c r="IA44" s="243">
        <v>19485</v>
      </c>
      <c r="IB44" s="243"/>
      <c r="IC44" s="118"/>
      <c r="ID44" s="118">
        <v>41992</v>
      </c>
      <c r="IE44" s="243"/>
      <c r="IF44" s="118">
        <v>41992</v>
      </c>
      <c r="IG44" s="243">
        <v>29228</v>
      </c>
      <c r="IH44" s="118">
        <v>42086</v>
      </c>
      <c r="II44" s="243">
        <v>10005</v>
      </c>
      <c r="IJ44" s="119">
        <v>42202</v>
      </c>
      <c r="IK44" s="403">
        <v>25161</v>
      </c>
      <c r="IL44" s="338"/>
      <c r="IM44" s="338"/>
      <c r="IN44" s="126">
        <v>42719</v>
      </c>
      <c r="IO44" s="243"/>
      <c r="IP44" s="126">
        <v>42719</v>
      </c>
      <c r="IQ44" s="243">
        <v>25164</v>
      </c>
      <c r="IR44" s="341">
        <v>42963</v>
      </c>
      <c r="IS44" s="405">
        <v>8388</v>
      </c>
      <c r="IT44" s="597"/>
      <c r="IU44" s="597"/>
      <c r="IV44" s="118">
        <v>43082</v>
      </c>
      <c r="IW44" s="119">
        <v>16776</v>
      </c>
      <c r="IX44" s="286"/>
      <c r="IY44" s="286"/>
      <c r="IZ44" s="286"/>
      <c r="JA44" s="286"/>
      <c r="JB44" s="243">
        <v>29228</v>
      </c>
      <c r="JC44" s="126"/>
      <c r="JD44" s="119"/>
      <c r="JE44" s="126"/>
      <c r="JF44" s="126"/>
      <c r="JG44" s="119"/>
    </row>
    <row r="45" spans="1:267" ht="24.95" customHeight="1">
      <c r="A45" s="900" t="s">
        <v>375</v>
      </c>
      <c r="B45" s="8" t="s">
        <v>163</v>
      </c>
      <c r="C45" s="8" t="s">
        <v>115</v>
      </c>
      <c r="D45" s="8">
        <v>2015</v>
      </c>
      <c r="E45" s="8" t="s">
        <v>261</v>
      </c>
      <c r="F45" s="8" t="s">
        <v>419</v>
      </c>
      <c r="G45" s="8"/>
      <c r="H45" s="8"/>
      <c r="I45" s="56"/>
      <c r="J45" s="56"/>
      <c r="K45" s="272" t="s">
        <v>628</v>
      </c>
      <c r="L45" s="171" t="s">
        <v>63</v>
      </c>
      <c r="M45" s="610"/>
      <c r="N45" s="109"/>
      <c r="O45" s="217">
        <v>13077</v>
      </c>
      <c r="P45" s="217">
        <v>590200</v>
      </c>
      <c r="Q45" s="217">
        <v>590200</v>
      </c>
      <c r="R45" s="217">
        <f t="shared" si="193"/>
        <v>12830.434782608696</v>
      </c>
      <c r="S45" s="217">
        <f t="shared" si="177"/>
        <v>45.132675690142996</v>
      </c>
      <c r="T45" s="223">
        <f t="shared" si="178"/>
        <v>45.132675690142996</v>
      </c>
      <c r="U45" s="223">
        <f t="shared" si="181"/>
        <v>146.36735179747637</v>
      </c>
      <c r="V45" s="223">
        <f t="shared" si="182"/>
        <v>12830.434782608696</v>
      </c>
      <c r="W45" s="217">
        <f t="shared" si="183"/>
        <v>284.28260869565219</v>
      </c>
      <c r="X45" s="218"/>
      <c r="Y45" s="219">
        <f t="shared" si="184"/>
        <v>0.308352068517244</v>
      </c>
      <c r="Z45" s="218"/>
      <c r="AA45" s="220"/>
      <c r="AB45" s="221"/>
      <c r="AC45" s="19" t="s">
        <v>15</v>
      </c>
      <c r="AD45" s="342">
        <f t="shared" si="120"/>
        <v>46</v>
      </c>
      <c r="AE45" s="8">
        <v>46</v>
      </c>
      <c r="AF45" s="9"/>
      <c r="AG45" s="67"/>
      <c r="AH45" s="67"/>
      <c r="AI45" s="10">
        <v>4286.38</v>
      </c>
      <c r="AJ45" s="573">
        <v>4032.32</v>
      </c>
      <c r="AK45" s="10"/>
      <c r="AL45" s="81"/>
      <c r="AM45" s="81"/>
      <c r="AN45" s="81">
        <f>36/AE45</f>
        <v>0.78260869565217395</v>
      </c>
      <c r="AO45" s="81">
        <f>10/AD45</f>
        <v>0.21739130434782608</v>
      </c>
      <c r="AP45" s="81"/>
      <c r="AQ45" s="10"/>
      <c r="AR45" s="79"/>
      <c r="AS45" s="81"/>
      <c r="AT45" s="62">
        <v>2</v>
      </c>
      <c r="AU45" s="59" t="s">
        <v>626</v>
      </c>
      <c r="AV45" s="8"/>
      <c r="AW45" s="194">
        <v>41921</v>
      </c>
      <c r="AX45" s="56"/>
      <c r="AY45" s="114" t="s">
        <v>12</v>
      </c>
      <c r="AZ45" s="112" t="s">
        <v>465</v>
      </c>
      <c r="BA45" s="36"/>
      <c r="BB45" s="214">
        <v>42304</v>
      </c>
      <c r="BC45" s="101">
        <v>42335</v>
      </c>
      <c r="BD45" s="101">
        <v>42600</v>
      </c>
      <c r="BE45" s="214">
        <v>42613</v>
      </c>
      <c r="BF45" s="101">
        <v>42614</v>
      </c>
      <c r="BG45" s="169">
        <v>42614</v>
      </c>
      <c r="BH45" s="212">
        <v>42620</v>
      </c>
      <c r="BI45" s="170">
        <v>42711</v>
      </c>
      <c r="BJ45" s="170">
        <v>42660</v>
      </c>
      <c r="BK45" s="320">
        <f t="shared" si="197"/>
        <v>42620</v>
      </c>
      <c r="BL45" s="319">
        <f t="shared" si="198"/>
        <v>43350</v>
      </c>
      <c r="BM45" s="319">
        <f t="shared" si="199"/>
        <v>43715</v>
      </c>
      <c r="BN45" s="319" t="str">
        <f>IF(CX45&gt;BM45,"oui","non")</f>
        <v>non</v>
      </c>
      <c r="BO45" s="169">
        <v>42627</v>
      </c>
      <c r="BP45" s="37" t="s">
        <v>652</v>
      </c>
      <c r="BQ45" s="460">
        <v>42747</v>
      </c>
      <c r="BR45" s="483">
        <v>42753</v>
      </c>
      <c r="BS45" s="483">
        <v>42753</v>
      </c>
      <c r="BT45" s="835">
        <v>42912</v>
      </c>
      <c r="BU45" s="611"/>
      <c r="BV45" s="330">
        <v>42725</v>
      </c>
      <c r="BW45" s="266" t="s">
        <v>617</v>
      </c>
      <c r="BX45" s="166">
        <v>9447490.1300000008</v>
      </c>
      <c r="BY45" s="302">
        <f>DATE(YEAR(BV45),MONTH(BV45)+18,DAY(BV45))</f>
        <v>43272</v>
      </c>
      <c r="BZ45" s="273">
        <f>DATE(YEAR(BV45),MONTH(BV45)+24,DAY(BV45))</f>
        <v>43455</v>
      </c>
      <c r="CA45" s="266"/>
      <c r="CB45" s="273">
        <v>43389</v>
      </c>
      <c r="CC45" s="780">
        <f t="shared" si="194"/>
        <v>0.46666666666666667</v>
      </c>
      <c r="CD45" s="615"/>
      <c r="CE45" s="451">
        <v>42782</v>
      </c>
      <c r="CF45" s="444">
        <v>2017</v>
      </c>
      <c r="CG45" s="602">
        <f t="shared" si="127"/>
        <v>15.933333333333334</v>
      </c>
      <c r="CH45" s="408">
        <v>19</v>
      </c>
      <c r="CI45" s="408">
        <f t="shared" si="176"/>
        <v>20</v>
      </c>
      <c r="CJ45" s="255">
        <f t="shared" si="128"/>
        <v>18</v>
      </c>
      <c r="CK45" s="255">
        <f t="shared" si="129"/>
        <v>20</v>
      </c>
      <c r="CL45" s="255" t="e">
        <f t="shared" si="130"/>
        <v>#NUM!</v>
      </c>
      <c r="CM45" s="255">
        <f t="shared" si="131"/>
        <v>0</v>
      </c>
      <c r="CN45" s="63">
        <v>25851.972027750006</v>
      </c>
      <c r="CO45" s="245">
        <f t="shared" si="132"/>
        <v>-25851.972027750006</v>
      </c>
      <c r="CP45" s="253">
        <v>42887</v>
      </c>
      <c r="CQ45" s="834">
        <f t="shared" si="133"/>
        <v>43359</v>
      </c>
      <c r="CR45" s="513">
        <v>43357</v>
      </c>
      <c r="CS45" s="626">
        <v>43373</v>
      </c>
      <c r="CT45" s="196"/>
      <c r="CU45" s="882" t="e">
        <f t="shared" si="135"/>
        <v>#NUM!</v>
      </c>
      <c r="CV45" s="196"/>
      <c r="CW45" s="749">
        <v>43387</v>
      </c>
      <c r="CX45" s="513">
        <v>43403</v>
      </c>
      <c r="CY45" s="565"/>
      <c r="CZ45" s="122"/>
      <c r="DA45" s="125"/>
      <c r="DB45" s="125"/>
      <c r="DC45" s="125"/>
      <c r="DD45" s="125"/>
      <c r="DE45" s="125"/>
      <c r="DF45" s="56"/>
      <c r="DG45" s="296">
        <f t="shared" si="174"/>
        <v>43722</v>
      </c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126">
        <v>41130</v>
      </c>
      <c r="DU45" s="126">
        <v>41131</v>
      </c>
      <c r="DV45" s="126">
        <v>41899</v>
      </c>
      <c r="DW45" s="691">
        <f t="shared" si="136"/>
        <v>768</v>
      </c>
      <c r="DX45" s="126">
        <v>42041</v>
      </c>
      <c r="DY45" s="126">
        <v>42040</v>
      </c>
      <c r="DZ45" s="691">
        <f t="shared" si="137"/>
        <v>-1</v>
      </c>
      <c r="EA45" s="126">
        <v>42075</v>
      </c>
      <c r="EB45" s="126">
        <v>42101</v>
      </c>
      <c r="EC45" s="691">
        <f t="shared" si="138"/>
        <v>26</v>
      </c>
      <c r="ED45" s="126">
        <v>42201</v>
      </c>
      <c r="EE45" s="126">
        <v>42226</v>
      </c>
      <c r="EF45" s="691">
        <f t="shared" si="139"/>
        <v>25</v>
      </c>
      <c r="EG45" s="126">
        <v>42296</v>
      </c>
      <c r="EH45" s="126">
        <v>42339</v>
      </c>
      <c r="EI45" s="691">
        <f t="shared" si="140"/>
        <v>43</v>
      </c>
      <c r="EJ45" s="126">
        <v>42514</v>
      </c>
      <c r="EK45" s="126">
        <v>42762</v>
      </c>
      <c r="EL45" s="126">
        <v>42773</v>
      </c>
      <c r="EM45" s="691">
        <f t="shared" si="141"/>
        <v>11</v>
      </c>
      <c r="EN45" s="126">
        <v>42782</v>
      </c>
      <c r="EO45" s="126">
        <v>42782</v>
      </c>
      <c r="EP45" s="691">
        <f t="shared" si="142"/>
        <v>0</v>
      </c>
      <c r="EQ45" s="126">
        <v>42909</v>
      </c>
      <c r="ER45" s="126">
        <v>42909</v>
      </c>
      <c r="ES45" s="691">
        <f t="shared" si="143"/>
        <v>0</v>
      </c>
      <c r="ET45" s="340">
        <v>42942</v>
      </c>
      <c r="EU45" s="831">
        <v>43160</v>
      </c>
      <c r="EV45" s="832">
        <f t="shared" si="144"/>
        <v>218</v>
      </c>
      <c r="EW45" s="701">
        <v>43046</v>
      </c>
      <c r="EX45" s="701">
        <f ca="1">IF(EW45&lt;TODAY(),TODAY(),EW45)</f>
        <v>43188</v>
      </c>
      <c r="EY45" s="697">
        <f t="shared" ca="1" si="145"/>
        <v>142</v>
      </c>
      <c r="EZ45" s="706">
        <v>43133</v>
      </c>
      <c r="FA45" s="701">
        <f ca="1">IF(EZ45&lt;TODAY(),TODAY(),EZ45)</f>
        <v>43188</v>
      </c>
      <c r="FB45" s="697">
        <f t="shared" ca="1" si="146"/>
        <v>55</v>
      </c>
      <c r="FC45" s="701">
        <v>43182</v>
      </c>
      <c r="FD45" s="701">
        <f ca="1">IF(FC45&lt;TODAY(),TODAY(),FC45)</f>
        <v>43188</v>
      </c>
      <c r="FE45" s="697">
        <f t="shared" ca="1" si="147"/>
        <v>6</v>
      </c>
      <c r="FF45" s="701">
        <v>43214</v>
      </c>
      <c r="FG45" s="701">
        <f ca="1">IF(FF45&lt;TODAY(),TODAY(),FF45)</f>
        <v>43214</v>
      </c>
      <c r="FH45" s="697">
        <f t="shared" ca="1" si="148"/>
        <v>0</v>
      </c>
      <c r="FI45" s="701">
        <v>43346</v>
      </c>
      <c r="FJ45" s="701">
        <f ca="1">IF(FI45&lt;TODAY(),TODAY(),FI45)</f>
        <v>43346</v>
      </c>
      <c r="FK45" s="697">
        <f t="shared" ca="1" si="149"/>
        <v>0</v>
      </c>
      <c r="FL45" s="703"/>
      <c r="FM45" s="703"/>
      <c r="FN45" s="703"/>
      <c r="FO45" s="701">
        <v>43357</v>
      </c>
      <c r="FP45" s="701">
        <f t="shared" si="187"/>
        <v>43357</v>
      </c>
      <c r="FQ45" s="699">
        <f t="shared" si="200"/>
        <v>19.166666666666668</v>
      </c>
      <c r="FR45" s="701">
        <v>43385</v>
      </c>
      <c r="FS45" s="701">
        <f t="shared" si="188"/>
        <v>43403</v>
      </c>
      <c r="FT45" s="727"/>
      <c r="FU45" s="727">
        <v>0</v>
      </c>
      <c r="FV45" s="727">
        <v>481600.82</v>
      </c>
      <c r="FW45" s="727"/>
      <c r="FX45" s="728">
        <f t="shared" si="151"/>
        <v>29.066666666666666</v>
      </c>
      <c r="FY45" s="728">
        <f t="shared" si="152"/>
        <v>0.6</v>
      </c>
      <c r="FZ45" s="724" t="s">
        <v>843</v>
      </c>
      <c r="GA45" s="741"/>
      <c r="GB45" s="741" t="s">
        <v>844</v>
      </c>
      <c r="GC45" s="741" t="s">
        <v>847</v>
      </c>
      <c r="GD45" s="113"/>
      <c r="GE45" s="117"/>
      <c r="GF45" s="11">
        <f>GP45+GU45+HB45</f>
        <v>8830884.4772763215</v>
      </c>
      <c r="GG45" s="70">
        <f t="shared" si="189"/>
        <v>8447391</v>
      </c>
      <c r="GH45" s="13"/>
      <c r="GI45" s="52">
        <f t="shared" si="154"/>
        <v>1970.7517765573748</v>
      </c>
      <c r="GJ45" s="52">
        <f t="shared" si="155"/>
        <v>183638.9347826087</v>
      </c>
      <c r="GK45" s="11">
        <v>7838932.0183052132</v>
      </c>
      <c r="GL45" s="12"/>
      <c r="GM45" s="13">
        <f t="shared" si="156"/>
        <v>-7838932.0183052132</v>
      </c>
      <c r="GN45" s="135">
        <f t="shared" si="186"/>
        <v>0</v>
      </c>
      <c r="GO45" s="137">
        <v>0.39750000000000002</v>
      </c>
      <c r="GP45" s="11">
        <v>2934715.4772763224</v>
      </c>
      <c r="GQ45" s="917">
        <v>2642685</v>
      </c>
      <c r="GR45" s="925"/>
      <c r="GS45" s="920">
        <f t="shared" si="158"/>
        <v>57449.67391304348</v>
      </c>
      <c r="GT45" s="38"/>
      <c r="GU45" s="11">
        <v>5440169</v>
      </c>
      <c r="GV45" s="12">
        <f>GW45+GX45</f>
        <v>5285874</v>
      </c>
      <c r="GW45" s="14">
        <v>1258166</v>
      </c>
      <c r="GX45" s="14">
        <v>4027708</v>
      </c>
      <c r="GY45" s="38"/>
      <c r="GZ45" s="888">
        <f t="shared" si="162"/>
        <v>114910.30434782608</v>
      </c>
      <c r="HA45" s="12"/>
      <c r="HB45" s="11">
        <v>456000</v>
      </c>
      <c r="HC45" s="12">
        <v>406000</v>
      </c>
      <c r="HD45" s="70"/>
      <c r="HE45" s="41">
        <f t="shared" si="163"/>
        <v>4.8062176830692457E-2</v>
      </c>
      <c r="HF45" s="326"/>
      <c r="HG45" s="12">
        <f>56916+55916</f>
        <v>112832</v>
      </c>
      <c r="HH45" s="23">
        <f t="shared" si="164"/>
        <v>-50000</v>
      </c>
      <c r="HI45" s="22">
        <f t="shared" si="165"/>
        <v>8826.0869565217399</v>
      </c>
      <c r="HJ45" s="84">
        <f t="shared" si="166"/>
        <v>66275.760869565216</v>
      </c>
      <c r="HK45" s="23">
        <f t="shared" si="190"/>
        <v>-1086.9565217391305</v>
      </c>
      <c r="HL45" s="51">
        <v>6.38</v>
      </c>
      <c r="HM45" s="51">
        <v>5.74</v>
      </c>
      <c r="HN45" s="40"/>
      <c r="HO45" s="40"/>
      <c r="HP45" s="22">
        <f t="shared" si="195"/>
        <v>66275.760869565216</v>
      </c>
      <c r="HQ45" s="40"/>
      <c r="HR45" s="22">
        <f t="shared" si="196"/>
        <v>66275.760869565216</v>
      </c>
      <c r="HS45" s="53">
        <f t="shared" si="191"/>
        <v>0.3609025555937922</v>
      </c>
      <c r="HT45" s="40"/>
      <c r="HU45" s="40"/>
      <c r="HV45" s="12">
        <f t="shared" si="192"/>
        <v>0</v>
      </c>
      <c r="HW45" s="42">
        <f t="shared" si="171"/>
        <v>8447391</v>
      </c>
      <c r="HX45" s="293">
        <v>472842</v>
      </c>
      <c r="HY45" s="293">
        <f t="shared" si="201"/>
        <v>330989</v>
      </c>
      <c r="HZ45" s="118">
        <v>41102</v>
      </c>
      <c r="IA45" s="243">
        <v>41000</v>
      </c>
      <c r="IB45" s="243"/>
      <c r="IC45" s="118"/>
      <c r="ID45" s="118"/>
      <c r="IE45" s="243"/>
      <c r="IF45" s="118"/>
      <c r="IG45" s="243">
        <v>81523</v>
      </c>
      <c r="IH45" s="118"/>
      <c r="II45" s="243">
        <v>46614</v>
      </c>
      <c r="IJ45" s="119">
        <v>42039</v>
      </c>
      <c r="IK45" s="403">
        <v>72488</v>
      </c>
      <c r="IL45" s="338"/>
      <c r="IM45" s="338"/>
      <c r="IN45" s="126">
        <v>42716</v>
      </c>
      <c r="IO45" s="339">
        <v>18438</v>
      </c>
      <c r="IP45" s="126">
        <v>42794</v>
      </c>
      <c r="IQ45" s="339">
        <v>47284</v>
      </c>
      <c r="IR45" s="861" t="s">
        <v>929</v>
      </c>
      <c r="IS45" s="119">
        <f>21278+2364</f>
        <v>23642</v>
      </c>
      <c r="IT45" s="323"/>
      <c r="IU45" s="323"/>
      <c r="IV45" s="286"/>
      <c r="IW45" s="286"/>
      <c r="IX45" s="286"/>
      <c r="IY45" s="286"/>
      <c r="IZ45" s="286"/>
      <c r="JA45" s="286"/>
      <c r="JB45" s="243">
        <v>81523</v>
      </c>
      <c r="JC45" s="126"/>
      <c r="JD45" s="119"/>
      <c r="JE45" s="126"/>
      <c r="JF45" s="126"/>
      <c r="JG45" s="119"/>
    </row>
    <row r="46" spans="1:267" ht="24.95" customHeight="1">
      <c r="A46" s="926" t="s">
        <v>277</v>
      </c>
      <c r="B46" s="57" t="s">
        <v>31</v>
      </c>
      <c r="C46" s="57" t="s">
        <v>113</v>
      </c>
      <c r="D46" s="57">
        <v>2015</v>
      </c>
      <c r="E46" s="57" t="s">
        <v>265</v>
      </c>
      <c r="F46" s="57" t="s">
        <v>30</v>
      </c>
      <c r="G46" s="57" t="s">
        <v>766</v>
      </c>
      <c r="H46" s="57" t="s">
        <v>177</v>
      </c>
      <c r="I46" s="57"/>
      <c r="J46" s="57"/>
      <c r="K46" s="272" t="s">
        <v>749</v>
      </c>
      <c r="L46" s="176" t="s">
        <v>63</v>
      </c>
      <c r="M46" s="177" t="s">
        <v>286</v>
      </c>
      <c r="N46" s="178"/>
      <c r="O46" s="222">
        <v>3547</v>
      </c>
      <c r="P46" s="222">
        <v>319230</v>
      </c>
      <c r="Q46" s="222">
        <v>132491.5</v>
      </c>
      <c r="R46" s="217">
        <f t="shared" si="193"/>
        <v>16801.57894736842</v>
      </c>
      <c r="S46" s="217">
        <f t="shared" si="177"/>
        <v>90</v>
      </c>
      <c r="T46" s="223">
        <f t="shared" si="178"/>
        <v>37.353115308711587</v>
      </c>
      <c r="U46" s="223">
        <f t="shared" si="181"/>
        <v>110.26440187087003</v>
      </c>
      <c r="V46" s="223">
        <f t="shared" si="182"/>
        <v>6973.2368421052633</v>
      </c>
      <c r="W46" s="217">
        <f t="shared" si="183"/>
        <v>186.68421052631578</v>
      </c>
      <c r="X46" s="224"/>
      <c r="Y46" s="225">
        <f t="shared" si="184"/>
        <v>0.33875951508316887</v>
      </c>
      <c r="Z46" s="224" t="s">
        <v>198</v>
      </c>
      <c r="AA46" s="230"/>
      <c r="AB46" s="226"/>
      <c r="AC46" s="57" t="s">
        <v>16</v>
      </c>
      <c r="AD46" s="342">
        <f t="shared" si="120"/>
        <v>19</v>
      </c>
      <c r="AE46" s="274"/>
      <c r="AF46" s="57">
        <v>19</v>
      </c>
      <c r="AG46" s="57"/>
      <c r="AH46" s="57"/>
      <c r="AI46" s="61">
        <v>1200.06</v>
      </c>
      <c r="AJ46" s="562">
        <v>1201.58</v>
      </c>
      <c r="AK46" s="60">
        <f>AJ46/AD46</f>
        <v>63.241052631578945</v>
      </c>
      <c r="AL46" s="63">
        <v>0</v>
      </c>
      <c r="AM46" s="82">
        <f>13/AD46</f>
        <v>0.68421052631578949</v>
      </c>
      <c r="AN46" s="82">
        <f>5/AD46</f>
        <v>0.26315789473684209</v>
      </c>
      <c r="AO46" s="82">
        <f>2/AD46</f>
        <v>0.10526315789473684</v>
      </c>
      <c r="AP46" s="82">
        <v>0</v>
      </c>
      <c r="AQ46" s="61"/>
      <c r="AR46" s="80" t="s">
        <v>337</v>
      </c>
      <c r="AS46" s="82"/>
      <c r="AT46" s="63">
        <v>2</v>
      </c>
      <c r="AU46" s="59" t="s">
        <v>626</v>
      </c>
      <c r="AV46" s="57"/>
      <c r="AW46" s="200">
        <v>42031</v>
      </c>
      <c r="AX46" s="57"/>
      <c r="AY46" s="114" t="s">
        <v>11</v>
      </c>
      <c r="AZ46" s="114" t="s">
        <v>348</v>
      </c>
      <c r="BA46" s="99"/>
      <c r="BB46" s="214">
        <v>42248</v>
      </c>
      <c r="BC46" s="101"/>
      <c r="BD46" s="101">
        <v>42536</v>
      </c>
      <c r="BE46" s="214">
        <v>42538</v>
      </c>
      <c r="BF46" s="101">
        <v>42541</v>
      </c>
      <c r="BG46" s="169">
        <v>42548</v>
      </c>
      <c r="BH46" s="212">
        <v>42559</v>
      </c>
      <c r="BI46" s="174" t="s">
        <v>469</v>
      </c>
      <c r="BJ46" s="170">
        <v>42235</v>
      </c>
      <c r="BK46" s="320">
        <f t="shared" si="197"/>
        <v>42559</v>
      </c>
      <c r="BL46" s="319">
        <f t="shared" si="198"/>
        <v>43289</v>
      </c>
      <c r="BM46" s="319">
        <f t="shared" si="199"/>
        <v>43654</v>
      </c>
      <c r="BN46" s="319" t="str">
        <f>IF(CX46&gt;BL46,"oui","non")</f>
        <v>oui</v>
      </c>
      <c r="BO46" s="169">
        <v>42564</v>
      </c>
      <c r="BP46" s="115" t="s">
        <v>656</v>
      </c>
      <c r="BQ46" s="460">
        <v>42747</v>
      </c>
      <c r="BR46" s="483"/>
      <c r="BS46" s="483">
        <v>42915</v>
      </c>
      <c r="BT46" s="835">
        <v>42719</v>
      </c>
      <c r="BU46" s="168" t="s">
        <v>72</v>
      </c>
      <c r="BV46" s="330">
        <v>42719</v>
      </c>
      <c r="BW46" s="266" t="s">
        <v>617</v>
      </c>
      <c r="BX46" s="167">
        <v>2533920.5099999998</v>
      </c>
      <c r="BY46" s="302">
        <f>DATE(YEAR(BV46),MONTH(BV46)+18,DAY(BV46))</f>
        <v>43266</v>
      </c>
      <c r="BZ46" s="273">
        <f>DATE(YEAR(BV46),MONTH(BV46)+24,DAY(BV46))</f>
        <v>43449</v>
      </c>
      <c r="CA46" s="266"/>
      <c r="CB46" s="273">
        <v>43419</v>
      </c>
      <c r="CC46" s="780">
        <f t="shared" si="194"/>
        <v>1.8666666666666667</v>
      </c>
      <c r="CD46" s="615"/>
      <c r="CE46" s="451">
        <v>42947</v>
      </c>
      <c r="CF46" s="444">
        <v>2017</v>
      </c>
      <c r="CG46" s="602">
        <f t="shared" si="127"/>
        <v>23.3</v>
      </c>
      <c r="CH46" s="270">
        <v>15</v>
      </c>
      <c r="CI46" s="270">
        <f t="shared" si="176"/>
        <v>16</v>
      </c>
      <c r="CJ46" s="255">
        <f t="shared" si="128"/>
        <v>15</v>
      </c>
      <c r="CK46" s="255">
        <f t="shared" si="129"/>
        <v>17</v>
      </c>
      <c r="CL46" s="255">
        <f t="shared" si="130"/>
        <v>0</v>
      </c>
      <c r="CM46" s="255">
        <f t="shared" si="131"/>
        <v>1</v>
      </c>
      <c r="CN46" s="261"/>
      <c r="CO46" s="261">
        <f t="shared" si="132"/>
        <v>0</v>
      </c>
      <c r="CP46" s="256"/>
      <c r="CQ46" s="797">
        <f t="shared" si="133"/>
        <v>43404</v>
      </c>
      <c r="CR46" s="513">
        <f>DATE(YEAR(CE46),MONTH(CE46)+CH46,DAY(CE46))</f>
        <v>43404</v>
      </c>
      <c r="CS46" s="626">
        <f>DATE(YEAR(CA46)+2,MONTH(CA46),DAY(CA46))</f>
        <v>731</v>
      </c>
      <c r="CT46" s="196"/>
      <c r="CU46" s="882" t="e">
        <f t="shared" si="135"/>
        <v>#NUM!</v>
      </c>
      <c r="CV46" s="196"/>
      <c r="CW46" s="749">
        <f>DATE(YEAR(CR46),MONTH(CR46),DAY(CR46)+5)</f>
        <v>43409</v>
      </c>
      <c r="CX46" s="513">
        <v>43475</v>
      </c>
      <c r="CY46" s="565"/>
      <c r="CZ46" s="122"/>
      <c r="DA46" s="127"/>
      <c r="DB46" s="127"/>
      <c r="DC46" s="127"/>
      <c r="DD46" s="127"/>
      <c r="DE46" s="127"/>
      <c r="DF46" s="57"/>
      <c r="DG46" s="296">
        <f t="shared" si="174"/>
        <v>43769</v>
      </c>
      <c r="DH46" s="57"/>
      <c r="DI46" s="57"/>
      <c r="DJ46" s="57"/>
      <c r="DK46" s="57"/>
      <c r="DL46" s="57"/>
      <c r="DM46" s="57"/>
      <c r="DN46" s="57"/>
      <c r="DO46" s="118"/>
      <c r="DP46" s="57"/>
      <c r="DQ46" s="57"/>
      <c r="DR46" s="57"/>
      <c r="DS46" s="57"/>
      <c r="DT46" s="126">
        <v>41976</v>
      </c>
      <c r="DU46" s="126">
        <v>41977</v>
      </c>
      <c r="DV46" s="126">
        <v>41977</v>
      </c>
      <c r="DW46" s="691">
        <f t="shared" si="136"/>
        <v>0</v>
      </c>
      <c r="DX46" s="126">
        <v>42041</v>
      </c>
      <c r="DY46" s="126">
        <v>42041</v>
      </c>
      <c r="DZ46" s="691">
        <f t="shared" si="137"/>
        <v>0</v>
      </c>
      <c r="EA46" s="126">
        <v>42079</v>
      </c>
      <c r="EB46" s="126">
        <v>42079</v>
      </c>
      <c r="EC46" s="691">
        <f t="shared" si="138"/>
        <v>0</v>
      </c>
      <c r="ED46" s="126">
        <v>42177</v>
      </c>
      <c r="EE46" s="126">
        <v>42352</v>
      </c>
      <c r="EF46" s="691">
        <f t="shared" si="139"/>
        <v>175</v>
      </c>
      <c r="EG46" s="126">
        <v>42444</v>
      </c>
      <c r="EH46" s="126">
        <v>42444</v>
      </c>
      <c r="EI46" s="691">
        <f t="shared" si="140"/>
        <v>0</v>
      </c>
      <c r="EJ46" s="126">
        <v>42514</v>
      </c>
      <c r="EK46" s="126">
        <v>42901</v>
      </c>
      <c r="EL46" s="126">
        <v>42940</v>
      </c>
      <c r="EM46" s="691">
        <f t="shared" si="141"/>
        <v>39</v>
      </c>
      <c r="EN46" s="126">
        <v>42774</v>
      </c>
      <c r="EO46" s="126">
        <v>42947</v>
      </c>
      <c r="EP46" s="691">
        <f t="shared" si="142"/>
        <v>173</v>
      </c>
      <c r="EQ46" s="126">
        <v>43059</v>
      </c>
      <c r="ER46" s="126">
        <v>43081</v>
      </c>
      <c r="ES46" s="691">
        <f t="shared" si="143"/>
        <v>22</v>
      </c>
      <c r="ET46" s="126">
        <v>43059</v>
      </c>
      <c r="EU46" s="743">
        <v>43144</v>
      </c>
      <c r="EV46" s="694">
        <f t="shared" si="144"/>
        <v>85</v>
      </c>
      <c r="EW46" s="701">
        <v>43166</v>
      </c>
      <c r="EX46" s="701">
        <f ca="1">IF(EW46&lt;TODAY(),TODAY(),EW46)</f>
        <v>43188</v>
      </c>
      <c r="EY46" s="697">
        <f t="shared" ca="1" si="145"/>
        <v>22</v>
      </c>
      <c r="EZ46" s="701">
        <v>43209</v>
      </c>
      <c r="FA46" s="701">
        <f ca="1">IF(EZ46&lt;TODAY(),TODAY(),EZ46)</f>
        <v>43209</v>
      </c>
      <c r="FB46" s="697">
        <f t="shared" ca="1" si="146"/>
        <v>0</v>
      </c>
      <c r="FC46" s="701">
        <v>43229</v>
      </c>
      <c r="FD46" s="701">
        <f ca="1">IF(FC46&lt;TODAY(),TODAY(),FC46)</f>
        <v>43229</v>
      </c>
      <c r="FE46" s="697">
        <f t="shared" ca="1" si="147"/>
        <v>0</v>
      </c>
      <c r="FF46" s="701">
        <v>43252</v>
      </c>
      <c r="FG46" s="701">
        <f ca="1">IF(FF46&lt;TODAY(),TODAY(),FF46)</f>
        <v>43252</v>
      </c>
      <c r="FH46" s="697">
        <f t="shared" ca="1" si="148"/>
        <v>0</v>
      </c>
      <c r="FI46" s="701">
        <v>43287</v>
      </c>
      <c r="FJ46" s="701">
        <f ca="1">IF(FI46&lt;TODAY(),TODAY(),FI46)</f>
        <v>43287</v>
      </c>
      <c r="FK46" s="697">
        <f t="shared" ca="1" si="149"/>
        <v>0</v>
      </c>
      <c r="FL46" s="701">
        <v>43252</v>
      </c>
      <c r="FM46" s="701">
        <v>43252</v>
      </c>
      <c r="FN46" s="701">
        <v>43224</v>
      </c>
      <c r="FO46" s="701">
        <v>43404</v>
      </c>
      <c r="FP46" s="701">
        <f t="shared" si="187"/>
        <v>43404</v>
      </c>
      <c r="FQ46" s="699">
        <f t="shared" si="200"/>
        <v>15.233333333333333</v>
      </c>
      <c r="FR46" s="701">
        <v>43434</v>
      </c>
      <c r="FS46" s="701">
        <f t="shared" si="188"/>
        <v>43475</v>
      </c>
      <c r="FT46" s="727">
        <v>66994</v>
      </c>
      <c r="FU46" s="763">
        <v>67805</v>
      </c>
      <c r="FV46" s="763">
        <v>97642</v>
      </c>
      <c r="FW46" s="763"/>
      <c r="FX46" s="728">
        <f t="shared" si="151"/>
        <v>12.9</v>
      </c>
      <c r="FY46" s="728">
        <f t="shared" si="152"/>
        <v>1.3666666666666667</v>
      </c>
      <c r="FZ46" s="724" t="s">
        <v>30</v>
      </c>
      <c r="GA46" s="741"/>
      <c r="GB46" s="741" t="s">
        <v>924</v>
      </c>
      <c r="GC46" s="741" t="s">
        <v>851</v>
      </c>
      <c r="GD46" s="117"/>
      <c r="GE46" s="117"/>
      <c r="GF46" s="95">
        <f>GP46+GU46+HB46</f>
        <v>2660388.3050338021</v>
      </c>
      <c r="GG46" s="70">
        <f t="shared" si="189"/>
        <v>2685118</v>
      </c>
      <c r="GH46" s="96">
        <f>GG46-GF46</f>
        <v>24729.694966197945</v>
      </c>
      <c r="GI46" s="52">
        <f t="shared" si="154"/>
        <v>2237.486459010383</v>
      </c>
      <c r="GJ46" s="52">
        <f t="shared" si="155"/>
        <v>141322</v>
      </c>
      <c r="GK46" s="95">
        <v>2613042.4974093148</v>
      </c>
      <c r="GL46" s="70">
        <v>1858695.408962426</v>
      </c>
      <c r="GM46" s="96">
        <f t="shared" si="156"/>
        <v>-754347.08844688884</v>
      </c>
      <c r="GN46" s="136">
        <f t="shared" si="186"/>
        <v>0.70675777099950055</v>
      </c>
      <c r="GO46" s="137">
        <v>0.39772600000000002</v>
      </c>
      <c r="GP46" s="95">
        <v>780309.39272020268</v>
      </c>
      <c r="GQ46" s="917">
        <v>771141</v>
      </c>
      <c r="GR46" s="925"/>
      <c r="GS46" s="920">
        <f t="shared" si="158"/>
        <v>40586.368421052633</v>
      </c>
      <c r="GT46" s="97">
        <f>GQ46-GP46</f>
        <v>-9168.3927202026825</v>
      </c>
      <c r="GU46" s="95">
        <v>1460078.9123135994</v>
      </c>
      <c r="GV46" s="70">
        <f>SUBTOTAL(9,GW46:GX46)</f>
        <v>1359322</v>
      </c>
      <c r="GW46" s="89">
        <v>334066</v>
      </c>
      <c r="GX46" s="89">
        <v>1025256</v>
      </c>
      <c r="GY46" s="97">
        <f>GV46-GU46</f>
        <v>-100756.91231359937</v>
      </c>
      <c r="GZ46" s="889">
        <f t="shared" si="162"/>
        <v>71543.263157894733</v>
      </c>
      <c r="HA46" s="70"/>
      <c r="HB46" s="304">
        <v>420000</v>
      </c>
      <c r="HC46" s="70">
        <v>420000</v>
      </c>
      <c r="HD46" s="70"/>
      <c r="HE46" s="90">
        <f t="shared" si="163"/>
        <v>0.15641770678234626</v>
      </c>
      <c r="HF46" s="326"/>
      <c r="HG46" s="904">
        <f>21616+45234</f>
        <v>66850</v>
      </c>
      <c r="HH46" s="91">
        <f t="shared" si="164"/>
        <v>0</v>
      </c>
      <c r="HI46" s="52">
        <f t="shared" si="165"/>
        <v>22105.263157894737</v>
      </c>
      <c r="HJ46" s="84">
        <f t="shared" si="166"/>
        <v>62691.631578947367</v>
      </c>
      <c r="HK46" s="91">
        <f t="shared" si="190"/>
        <v>0</v>
      </c>
      <c r="HL46" s="92">
        <v>5.65</v>
      </c>
      <c r="HM46" s="92">
        <v>5.65</v>
      </c>
      <c r="HN46" s="93">
        <v>510850.13361374999</v>
      </c>
      <c r="HO46" s="93">
        <v>380000</v>
      </c>
      <c r="HP46" s="52">
        <f t="shared" si="195"/>
        <v>82691.631578947374</v>
      </c>
      <c r="HQ46" s="93">
        <v>0</v>
      </c>
      <c r="HR46" s="52">
        <f t="shared" si="196"/>
        <v>82691.631578947374</v>
      </c>
      <c r="HS46" s="53">
        <f t="shared" si="191"/>
        <v>0.50938002953549877</v>
      </c>
      <c r="HT46" s="93">
        <v>111550</v>
      </c>
      <c r="HU46" s="93"/>
      <c r="HV46" s="857">
        <f t="shared" si="192"/>
        <v>67805</v>
      </c>
      <c r="HW46" s="98">
        <f t="shared" si="171"/>
        <v>3195968.1336137499</v>
      </c>
      <c r="HX46" s="293">
        <v>139335</v>
      </c>
      <c r="HY46" s="293">
        <f t="shared" si="201"/>
        <v>97535</v>
      </c>
      <c r="HZ46" s="118">
        <v>41992</v>
      </c>
      <c r="IA46" s="243">
        <v>13467</v>
      </c>
      <c r="IB46" s="243"/>
      <c r="IC46" s="118"/>
      <c r="ID46" s="118">
        <v>42082</v>
      </c>
      <c r="IE46" s="243">
        <v>4987</v>
      </c>
      <c r="IF46" s="118">
        <v>41764</v>
      </c>
      <c r="IG46" s="243">
        <v>14412</v>
      </c>
      <c r="IH46" s="118">
        <v>42247</v>
      </c>
      <c r="II46" s="243">
        <v>13125</v>
      </c>
      <c r="IJ46" s="118">
        <v>42487</v>
      </c>
      <c r="IK46" s="403">
        <v>26102</v>
      </c>
      <c r="IL46" s="338"/>
      <c r="IM46" s="338"/>
      <c r="IN46" s="126">
        <v>42726</v>
      </c>
      <c r="IO46" s="243"/>
      <c r="IP46" s="126">
        <v>42726</v>
      </c>
      <c r="IQ46" s="243">
        <v>18387</v>
      </c>
      <c r="IR46" s="126">
        <v>43145</v>
      </c>
      <c r="IS46" s="243">
        <v>7055</v>
      </c>
      <c r="IT46" s="323"/>
      <c r="IU46" s="323"/>
      <c r="IV46" s="286"/>
      <c r="IW46" s="286"/>
      <c r="IX46" s="286"/>
      <c r="IY46" s="286"/>
      <c r="IZ46" s="286"/>
      <c r="JA46" s="286"/>
      <c r="JB46" s="243">
        <v>14412</v>
      </c>
      <c r="JC46" s="126"/>
      <c r="JD46" s="119"/>
      <c r="JE46" s="126"/>
      <c r="JF46" s="126"/>
      <c r="JG46" s="119"/>
    </row>
    <row r="47" spans="1:267" ht="24.95" customHeight="1">
      <c r="A47" s="926" t="s">
        <v>611</v>
      </c>
      <c r="B47" s="8" t="s">
        <v>28</v>
      </c>
      <c r="C47" s="8" t="s">
        <v>113</v>
      </c>
      <c r="D47" s="8">
        <v>2015</v>
      </c>
      <c r="E47" s="8" t="s">
        <v>569</v>
      </c>
      <c r="F47" s="8" t="s">
        <v>30</v>
      </c>
      <c r="G47" s="8" t="s">
        <v>519</v>
      </c>
      <c r="H47" s="8" t="s">
        <v>177</v>
      </c>
      <c r="I47" s="56"/>
      <c r="J47" s="56"/>
      <c r="K47" s="272"/>
      <c r="L47" s="171"/>
      <c r="M47" s="108" t="s">
        <v>145</v>
      </c>
      <c r="N47" s="109"/>
      <c r="O47" s="223">
        <v>3038</v>
      </c>
      <c r="P47" s="223">
        <f>Q47</f>
        <v>690000</v>
      </c>
      <c r="Q47" s="223">
        <v>690000</v>
      </c>
      <c r="R47" s="217">
        <f t="shared" si="193"/>
        <v>12545.454545454546</v>
      </c>
      <c r="S47" s="223">
        <f t="shared" si="177"/>
        <v>227.12310730743911</v>
      </c>
      <c r="T47" s="223">
        <f t="shared" si="178"/>
        <v>227.12310730743911</v>
      </c>
      <c r="U47" s="223">
        <f t="shared" si="181"/>
        <v>213.33828030794916</v>
      </c>
      <c r="V47" s="223">
        <f t="shared" si="182"/>
        <v>12545.454545454546</v>
      </c>
      <c r="W47" s="217">
        <f t="shared" si="183"/>
        <v>55.236363636363635</v>
      </c>
      <c r="X47" s="227"/>
      <c r="Y47" s="228">
        <f t="shared" si="184"/>
        <v>1.0646148782093483</v>
      </c>
      <c r="Z47" s="227" t="s">
        <v>192</v>
      </c>
      <c r="AA47" s="220"/>
      <c r="AB47" s="221"/>
      <c r="AC47" s="19" t="s">
        <v>16</v>
      </c>
      <c r="AD47" s="342">
        <f t="shared" si="120"/>
        <v>55</v>
      </c>
      <c r="AE47" s="9"/>
      <c r="AF47" s="8">
        <f>55*1</f>
        <v>55</v>
      </c>
      <c r="AG47" s="56"/>
      <c r="AH47" s="56"/>
      <c r="AI47" s="10">
        <v>3218.48</v>
      </c>
      <c r="AJ47" s="573">
        <v>3234.3</v>
      </c>
      <c r="AK47" s="10">
        <f>AJ47/AD47</f>
        <v>58.805454545454552</v>
      </c>
      <c r="AL47" s="62"/>
      <c r="AM47" s="81">
        <v>1</v>
      </c>
      <c r="AN47" s="62"/>
      <c r="AO47" s="62"/>
      <c r="AP47" s="62"/>
      <c r="AQ47" s="10"/>
      <c r="AR47" s="79">
        <v>0</v>
      </c>
      <c r="AS47" s="81">
        <f>AR47/O47</f>
        <v>0</v>
      </c>
      <c r="AT47" s="60">
        <v>3</v>
      </c>
      <c r="AU47" s="59" t="s">
        <v>626</v>
      </c>
      <c r="AV47" s="8"/>
      <c r="AW47" s="58" t="s">
        <v>325</v>
      </c>
      <c r="AX47" s="56"/>
      <c r="AY47" s="112" t="s">
        <v>11</v>
      </c>
      <c r="AZ47" s="112" t="s">
        <v>568</v>
      </c>
      <c r="BA47" s="576"/>
      <c r="BB47" s="214">
        <v>42320</v>
      </c>
      <c r="BC47" s="101"/>
      <c r="BD47" s="101">
        <v>42649</v>
      </c>
      <c r="BE47" s="214">
        <v>42697</v>
      </c>
      <c r="BF47" s="101">
        <v>42698</v>
      </c>
      <c r="BG47" s="169" t="s">
        <v>129</v>
      </c>
      <c r="BH47" s="212">
        <v>42719</v>
      </c>
      <c r="BI47" s="170">
        <v>42805</v>
      </c>
      <c r="BJ47" s="170">
        <v>42727</v>
      </c>
      <c r="BK47" s="320">
        <f t="shared" si="197"/>
        <v>42719</v>
      </c>
      <c r="BL47" s="319">
        <f t="shared" si="198"/>
        <v>43449</v>
      </c>
      <c r="BM47" s="319">
        <f t="shared" si="199"/>
        <v>43814</v>
      </c>
      <c r="BN47" s="319" t="str">
        <f>IF(CX47&gt;BL47,"oui","non")</f>
        <v>oui</v>
      </c>
      <c r="BO47" s="169"/>
      <c r="BP47" s="578" t="s">
        <v>657</v>
      </c>
      <c r="BQ47" s="482">
        <v>42823</v>
      </c>
      <c r="BR47" s="482">
        <v>42850</v>
      </c>
      <c r="BS47" s="483">
        <v>42915</v>
      </c>
      <c r="BT47" s="482">
        <v>42915</v>
      </c>
      <c r="BU47" s="165" t="s">
        <v>145</v>
      </c>
      <c r="BV47" s="330">
        <v>42727</v>
      </c>
      <c r="BW47" s="517" t="s">
        <v>617</v>
      </c>
      <c r="BX47" s="759">
        <v>6242199</v>
      </c>
      <c r="BY47" s="302">
        <f>DATE(YEAR(BV47),MONTH(BV47)+18,DAY(BV47))</f>
        <v>43274</v>
      </c>
      <c r="BZ47" s="273">
        <f>DATE(YEAR(BV47),MONTH(BV47)+24,DAY(BV47))</f>
        <v>43457</v>
      </c>
      <c r="CA47" s="266"/>
      <c r="CB47" s="273">
        <v>43457</v>
      </c>
      <c r="CC47" s="780">
        <f t="shared" si="194"/>
        <v>0.6</v>
      </c>
      <c r="CD47" s="615"/>
      <c r="CE47" s="451">
        <v>42767</v>
      </c>
      <c r="CF47" s="444">
        <v>2017</v>
      </c>
      <c r="CG47" s="602">
        <f t="shared" si="127"/>
        <v>14.9</v>
      </c>
      <c r="CH47" s="408">
        <v>22</v>
      </c>
      <c r="CI47" s="408">
        <f t="shared" si="176"/>
        <v>23</v>
      </c>
      <c r="CJ47" s="255">
        <f t="shared" si="128"/>
        <v>22</v>
      </c>
      <c r="CK47" s="255">
        <f t="shared" si="129"/>
        <v>23</v>
      </c>
      <c r="CL47" s="255">
        <f t="shared" si="130"/>
        <v>0</v>
      </c>
      <c r="CM47" s="255">
        <f t="shared" si="131"/>
        <v>0</v>
      </c>
      <c r="CN47" s="261"/>
      <c r="CO47" s="245">
        <f t="shared" si="132"/>
        <v>0</v>
      </c>
      <c r="CP47" s="256"/>
      <c r="CQ47" s="797">
        <f t="shared" si="133"/>
        <v>43435</v>
      </c>
      <c r="CR47" s="513">
        <v>43435</v>
      </c>
      <c r="CS47" s="752">
        <f>DATE(YEAR(CA47)+2,MONTH(CA47),DAY(CA47))</f>
        <v>731</v>
      </c>
      <c r="CT47" s="256"/>
      <c r="CU47" s="883" t="e">
        <f t="shared" si="135"/>
        <v>#NUM!</v>
      </c>
      <c r="CV47" s="256"/>
      <c r="CW47" s="626">
        <v>43439</v>
      </c>
      <c r="CX47" s="612">
        <v>43475</v>
      </c>
      <c r="CY47" s="753"/>
      <c r="CZ47" s="122"/>
      <c r="DA47" s="125"/>
      <c r="DB47" s="125"/>
      <c r="DC47" s="125"/>
      <c r="DD47" s="125"/>
      <c r="DE47" s="125"/>
      <c r="DF47" s="56"/>
      <c r="DG47" s="296">
        <f t="shared" si="174"/>
        <v>43800</v>
      </c>
      <c r="DH47" s="56"/>
      <c r="DI47" s="56"/>
      <c r="DJ47" s="56"/>
      <c r="DK47" s="56"/>
      <c r="DL47" s="56"/>
      <c r="DM47" s="56"/>
      <c r="DN47" s="56"/>
      <c r="DO47" s="118"/>
      <c r="DP47" s="56"/>
      <c r="DQ47" s="56"/>
      <c r="DR47" s="56"/>
      <c r="DS47" s="56"/>
      <c r="DT47" s="126"/>
      <c r="DU47" s="126"/>
      <c r="DV47" s="126"/>
      <c r="DW47" s="691" t="str">
        <f t="shared" si="136"/>
        <v>0</v>
      </c>
      <c r="DX47" s="126">
        <v>42041</v>
      </c>
      <c r="DY47" s="126">
        <v>41982</v>
      </c>
      <c r="DZ47" s="691">
        <f t="shared" si="137"/>
        <v>-59</v>
      </c>
      <c r="EA47" s="126"/>
      <c r="EB47" s="126"/>
      <c r="EC47" s="691" t="str">
        <f t="shared" si="138"/>
        <v>0</v>
      </c>
      <c r="ED47" s="126"/>
      <c r="EE47" s="126"/>
      <c r="EF47" s="691" t="str">
        <f t="shared" si="139"/>
        <v>0</v>
      </c>
      <c r="EG47" s="126"/>
      <c r="EH47" s="126"/>
      <c r="EI47" s="691" t="str">
        <f t="shared" si="140"/>
        <v>0</v>
      </c>
      <c r="EJ47" s="126"/>
      <c r="EK47" s="126"/>
      <c r="EL47" s="126"/>
      <c r="EM47" s="691" t="str">
        <f t="shared" si="141"/>
        <v>0</v>
      </c>
      <c r="EN47" s="126">
        <v>42741</v>
      </c>
      <c r="EO47" s="126">
        <v>42767</v>
      </c>
      <c r="EP47" s="691">
        <f t="shared" si="142"/>
        <v>26</v>
      </c>
      <c r="EQ47" s="126">
        <v>42824</v>
      </c>
      <c r="ER47" s="126">
        <v>42807</v>
      </c>
      <c r="ES47" s="691">
        <f t="shared" si="143"/>
        <v>-17</v>
      </c>
      <c r="ET47" s="126">
        <v>42946</v>
      </c>
      <c r="EU47" s="743">
        <v>42895</v>
      </c>
      <c r="EV47" s="694">
        <f t="shared" si="144"/>
        <v>-51</v>
      </c>
      <c r="EW47" s="126"/>
      <c r="EX47" s="126">
        <v>42996</v>
      </c>
      <c r="EY47" s="691" t="str">
        <f t="shared" si="145"/>
        <v>0</v>
      </c>
      <c r="EZ47" s="701">
        <v>43038</v>
      </c>
      <c r="FA47" s="701">
        <f ca="1">IF(EZ47&lt;TODAY(),TODAY(),EZ47)</f>
        <v>43188</v>
      </c>
      <c r="FB47" s="697">
        <f t="shared" ca="1" si="146"/>
        <v>150</v>
      </c>
      <c r="FC47" s="701">
        <v>43038</v>
      </c>
      <c r="FD47" s="701">
        <f ca="1">IF(FC47&lt;TODAY(),TODAY(),FC47)</f>
        <v>43188</v>
      </c>
      <c r="FE47" s="697">
        <f t="shared" ca="1" si="147"/>
        <v>150</v>
      </c>
      <c r="FF47" s="701">
        <v>43159</v>
      </c>
      <c r="FG47" s="701">
        <f ca="1">IF(FF47&lt;TODAY(),TODAY(),FF47)</f>
        <v>43188</v>
      </c>
      <c r="FH47" s="697">
        <f t="shared" ca="1" si="148"/>
        <v>29</v>
      </c>
      <c r="FI47" s="701">
        <v>43465</v>
      </c>
      <c r="FJ47" s="701">
        <f ca="1">IF(FI47&lt;TODAY(),TODAY(),FI47)</f>
        <v>43465</v>
      </c>
      <c r="FK47" s="697">
        <f t="shared" ca="1" si="149"/>
        <v>0</v>
      </c>
      <c r="FL47" s="701"/>
      <c r="FM47" s="701"/>
      <c r="FN47" s="701"/>
      <c r="FO47" s="701">
        <v>43427</v>
      </c>
      <c r="FP47" s="701">
        <f t="shared" si="187"/>
        <v>43435</v>
      </c>
      <c r="FQ47" s="699">
        <f t="shared" si="200"/>
        <v>22</v>
      </c>
      <c r="FR47" s="701">
        <v>43455</v>
      </c>
      <c r="FS47" s="701">
        <f t="shared" si="188"/>
        <v>43475</v>
      </c>
      <c r="FT47" s="727">
        <v>0</v>
      </c>
      <c r="FU47" s="727">
        <v>0</v>
      </c>
      <c r="FV47" s="727">
        <v>0</v>
      </c>
      <c r="FW47" s="727"/>
      <c r="FX47" s="728">
        <f t="shared" si="151"/>
        <v>-1.1000000000000001</v>
      </c>
      <c r="FY47" s="728">
        <f t="shared" si="152"/>
        <v>0.66666666666666663</v>
      </c>
      <c r="FZ47" s="724" t="s">
        <v>30</v>
      </c>
      <c r="GA47" s="741"/>
      <c r="GB47" s="741"/>
      <c r="GC47" s="741"/>
      <c r="GD47" s="113"/>
      <c r="GE47" s="117"/>
      <c r="GF47" s="11">
        <f>+GP47+GU47+HB47+HV47</f>
        <v>6578594.558091728</v>
      </c>
      <c r="GG47" s="70">
        <f t="shared" si="189"/>
        <v>6893824</v>
      </c>
      <c r="GH47" s="13"/>
      <c r="GI47" s="52">
        <f t="shared" si="154"/>
        <v>2141.9502373791356</v>
      </c>
      <c r="GJ47" s="52">
        <f t="shared" si="155"/>
        <v>125342.25454545455</v>
      </c>
      <c r="GK47" s="11">
        <v>5462235</v>
      </c>
      <c r="GL47" s="12">
        <v>5874333.7564800717</v>
      </c>
      <c r="GM47" s="13">
        <f t="shared" si="156"/>
        <v>412098.75648007169</v>
      </c>
      <c r="GN47" s="135">
        <f t="shared" si="186"/>
        <v>0.87000984727288555</v>
      </c>
      <c r="GO47" s="137">
        <v>0.39772600000000002</v>
      </c>
      <c r="GP47" s="11">
        <v>1733988.3513843757</v>
      </c>
      <c r="GQ47" s="917">
        <v>1928374</v>
      </c>
      <c r="GR47" s="925"/>
      <c r="GS47" s="920">
        <f t="shared" si="158"/>
        <v>35061.345454545452</v>
      </c>
      <c r="GT47" s="38">
        <f>GQ47-GP47</f>
        <v>194385.64861562429</v>
      </c>
      <c r="GU47" s="11">
        <v>3744606.2067073518</v>
      </c>
      <c r="GV47" s="12">
        <f>GX47+GW47</f>
        <v>3865450</v>
      </c>
      <c r="GW47" s="14">
        <v>735184</v>
      </c>
      <c r="GX47" s="14">
        <v>3130266</v>
      </c>
      <c r="GY47" s="38">
        <f>GV47-GU47</f>
        <v>120843.79329264816</v>
      </c>
      <c r="GZ47" s="888">
        <f t="shared" si="162"/>
        <v>70280.909090909088</v>
      </c>
      <c r="HA47" s="12"/>
      <c r="HB47" s="11">
        <f>1100000*1</f>
        <v>1100000</v>
      </c>
      <c r="HC47" s="12">
        <v>1100000</v>
      </c>
      <c r="HD47" s="70">
        <v>0</v>
      </c>
      <c r="HE47" s="41">
        <f t="shared" si="163"/>
        <v>0.15956311040142598</v>
      </c>
      <c r="HF47" s="326"/>
      <c r="HG47" s="12">
        <v>0</v>
      </c>
      <c r="HH47" s="23">
        <f t="shared" si="164"/>
        <v>0</v>
      </c>
      <c r="HI47" s="22">
        <f t="shared" si="165"/>
        <v>20000</v>
      </c>
      <c r="HJ47" s="84">
        <f t="shared" si="166"/>
        <v>55061.345454545452</v>
      </c>
      <c r="HK47" s="23" t="e">
        <f>HH47/#REF!</f>
        <v>#REF!</v>
      </c>
      <c r="HL47" s="50">
        <v>5.78</v>
      </c>
      <c r="HM47" s="50">
        <v>5.69</v>
      </c>
      <c r="HN47" s="40">
        <v>0</v>
      </c>
      <c r="HO47" s="40">
        <v>0</v>
      </c>
      <c r="HP47" s="22">
        <f t="shared" si="195"/>
        <v>55061.345454545452</v>
      </c>
      <c r="HQ47" s="40">
        <v>0</v>
      </c>
      <c r="HR47" s="22">
        <f t="shared" si="196"/>
        <v>55061.345454545452</v>
      </c>
      <c r="HS47" s="53">
        <f t="shared" si="191"/>
        <v>0.43928797718073453</v>
      </c>
      <c r="HT47" s="40">
        <v>0</v>
      </c>
      <c r="HU47" s="40"/>
      <c r="HV47" s="12">
        <f t="shared" si="192"/>
        <v>0</v>
      </c>
      <c r="HW47" s="42">
        <f t="shared" si="171"/>
        <v>6893824</v>
      </c>
      <c r="HX47" s="293">
        <v>234959.82488479264</v>
      </c>
      <c r="HY47" s="293">
        <f t="shared" si="201"/>
        <v>176219.96313364056</v>
      </c>
      <c r="HZ47" s="118"/>
      <c r="IA47" s="243"/>
      <c r="IB47" s="243"/>
      <c r="IC47" s="118"/>
      <c r="ID47" s="118"/>
      <c r="IE47" s="243"/>
      <c r="IF47" s="118"/>
      <c r="IG47" s="243"/>
      <c r="IH47" s="118"/>
      <c r="II47" s="243"/>
      <c r="IJ47" s="119"/>
      <c r="IK47" s="403"/>
      <c r="IL47" s="338"/>
      <c r="IM47" s="338"/>
      <c r="IN47" s="126"/>
      <c r="IO47" s="243">
        <v>129228</v>
      </c>
      <c r="IP47" s="204">
        <v>42828</v>
      </c>
      <c r="IQ47" s="414">
        <v>23495.981566820275</v>
      </c>
      <c r="IR47" s="204">
        <v>43017</v>
      </c>
      <c r="IS47" s="414">
        <v>11747.990783410138</v>
      </c>
      <c r="IT47" s="204">
        <v>43047</v>
      </c>
      <c r="IU47" s="414">
        <v>11747.990783410138</v>
      </c>
      <c r="IV47" s="286"/>
      <c r="IW47" s="286"/>
      <c r="IX47" s="286"/>
      <c r="IY47" s="286"/>
      <c r="IZ47" s="286"/>
      <c r="JA47" s="286"/>
      <c r="JB47" s="243"/>
      <c r="JC47" s="126"/>
      <c r="JD47" s="119"/>
      <c r="JE47" s="126"/>
      <c r="JF47" s="126"/>
      <c r="JG47" s="119"/>
    </row>
    <row r="48" spans="1:267" ht="30" customHeight="1">
      <c r="A48" s="900" t="s">
        <v>699</v>
      </c>
      <c r="B48" s="8" t="s">
        <v>163</v>
      </c>
      <c r="C48" s="8" t="s">
        <v>115</v>
      </c>
      <c r="D48" s="8">
        <v>2015</v>
      </c>
      <c r="E48" s="8" t="s">
        <v>261</v>
      </c>
      <c r="F48" s="8" t="s">
        <v>419</v>
      </c>
      <c r="G48" s="8" t="s">
        <v>519</v>
      </c>
      <c r="H48" s="56" t="s">
        <v>177</v>
      </c>
      <c r="I48" s="56"/>
      <c r="J48" s="56"/>
      <c r="K48" s="272" t="s">
        <v>628</v>
      </c>
      <c r="L48" s="171" t="s">
        <v>63</v>
      </c>
      <c r="M48" s="108" t="s">
        <v>68</v>
      </c>
      <c r="N48" s="109"/>
      <c r="O48" s="217">
        <v>13077</v>
      </c>
      <c r="P48" s="217"/>
      <c r="Q48" s="217"/>
      <c r="R48" s="217">
        <f t="shared" si="193"/>
        <v>0</v>
      </c>
      <c r="S48" s="217">
        <f t="shared" si="177"/>
        <v>0</v>
      </c>
      <c r="T48" s="223">
        <f t="shared" si="178"/>
        <v>0</v>
      </c>
      <c r="U48" s="223">
        <f t="shared" si="181"/>
        <v>0</v>
      </c>
      <c r="V48" s="223">
        <f t="shared" si="182"/>
        <v>0</v>
      </c>
      <c r="W48" s="217">
        <f t="shared" si="183"/>
        <v>1089.75</v>
      </c>
      <c r="X48" s="218"/>
      <c r="Y48" s="219">
        <f t="shared" si="184"/>
        <v>5.1805459967882543E-2</v>
      </c>
      <c r="Z48" s="218"/>
      <c r="AA48" s="220"/>
      <c r="AB48" s="221"/>
      <c r="AC48" s="19" t="s">
        <v>16</v>
      </c>
      <c r="AD48" s="342">
        <f t="shared" si="120"/>
        <v>12</v>
      </c>
      <c r="AE48" s="9"/>
      <c r="AF48" s="8">
        <v>12</v>
      </c>
      <c r="AG48" s="56"/>
      <c r="AH48" s="56"/>
      <c r="AI48" s="10">
        <v>1301.51</v>
      </c>
      <c r="AJ48" s="573">
        <v>677.46</v>
      </c>
      <c r="AK48" s="10">
        <f>AJ48/AD48</f>
        <v>56.455000000000005</v>
      </c>
      <c r="AL48" s="81"/>
      <c r="AM48" s="81">
        <f>12/AD48</f>
        <v>1</v>
      </c>
      <c r="AN48" s="81"/>
      <c r="AO48" s="81"/>
      <c r="AP48" s="81"/>
      <c r="AQ48" s="10"/>
      <c r="AR48" s="79"/>
      <c r="AS48" s="81"/>
      <c r="AT48" s="60">
        <v>2</v>
      </c>
      <c r="AU48" s="59" t="s">
        <v>626</v>
      </c>
      <c r="AV48" s="8"/>
      <c r="AW48" s="194">
        <v>41921</v>
      </c>
      <c r="AX48" s="56"/>
      <c r="AY48" s="112" t="s">
        <v>12</v>
      </c>
      <c r="AZ48" s="112" t="s">
        <v>465</v>
      </c>
      <c r="BA48" s="36"/>
      <c r="BB48" s="214">
        <v>42306</v>
      </c>
      <c r="BC48" s="101">
        <v>42335</v>
      </c>
      <c r="BD48" s="101">
        <v>42600</v>
      </c>
      <c r="BE48" s="214">
        <v>42613</v>
      </c>
      <c r="BF48" s="101">
        <v>42614</v>
      </c>
      <c r="BG48" s="169">
        <v>42614</v>
      </c>
      <c r="BH48" s="212">
        <v>42622</v>
      </c>
      <c r="BI48" s="170">
        <v>42713</v>
      </c>
      <c r="BJ48" s="170">
        <v>42660</v>
      </c>
      <c r="BK48" s="320">
        <f t="shared" si="197"/>
        <v>42622</v>
      </c>
      <c r="BL48" s="319">
        <f t="shared" si="198"/>
        <v>43352</v>
      </c>
      <c r="BM48" s="319">
        <f t="shared" si="199"/>
        <v>43717</v>
      </c>
      <c r="BN48" s="319" t="str">
        <f>IF(CX48&gt;BM48,"oui","non")</f>
        <v>non</v>
      </c>
      <c r="BO48" s="169">
        <v>42627</v>
      </c>
      <c r="BP48" s="37" t="s">
        <v>654</v>
      </c>
      <c r="BQ48" s="460">
        <v>42747</v>
      </c>
      <c r="BR48" s="483">
        <v>42753</v>
      </c>
      <c r="BS48" s="483">
        <v>42753</v>
      </c>
      <c r="BT48" s="483">
        <v>42912</v>
      </c>
      <c r="BU48" s="165" t="s">
        <v>68</v>
      </c>
      <c r="BV48" s="330">
        <v>42725</v>
      </c>
      <c r="BW48" s="266" t="s">
        <v>617</v>
      </c>
      <c r="BX48" s="166">
        <v>9447490.1300000008</v>
      </c>
      <c r="BY48" s="302">
        <f>DATE(YEAR(BV48),MONTH(BV48)+18,DAY(BV48))</f>
        <v>43272</v>
      </c>
      <c r="BZ48" s="273">
        <f>DATE(YEAR(BV48),MONTH(BV48)+24,DAY(BV48))</f>
        <v>43455</v>
      </c>
      <c r="CA48" s="266"/>
      <c r="CB48" s="273">
        <v>43389</v>
      </c>
      <c r="CC48" s="780">
        <f t="shared" si="194"/>
        <v>0.46666666666666667</v>
      </c>
      <c r="CD48" s="615"/>
      <c r="CE48" s="451">
        <v>42782</v>
      </c>
      <c r="CF48" s="444">
        <v>2017</v>
      </c>
      <c r="CG48" s="602">
        <f t="shared" si="127"/>
        <v>15.866666666666667</v>
      </c>
      <c r="CH48" s="408">
        <v>19</v>
      </c>
      <c r="CI48" s="408">
        <f t="shared" si="176"/>
        <v>20</v>
      </c>
      <c r="CJ48" s="255">
        <f t="shared" si="128"/>
        <v>18</v>
      </c>
      <c r="CK48" s="255">
        <f t="shared" si="129"/>
        <v>20</v>
      </c>
      <c r="CL48" s="255" t="e">
        <f t="shared" si="130"/>
        <v>#NUM!</v>
      </c>
      <c r="CM48" s="255">
        <f t="shared" si="131"/>
        <v>0</v>
      </c>
      <c r="CN48" s="63">
        <v>3973</v>
      </c>
      <c r="CO48" s="245">
        <f t="shared" si="132"/>
        <v>-3973</v>
      </c>
      <c r="CP48" s="253">
        <v>42887</v>
      </c>
      <c r="CQ48" s="903">
        <f t="shared" si="133"/>
        <v>43359</v>
      </c>
      <c r="CR48" s="513">
        <v>43357</v>
      </c>
      <c r="CS48" s="626">
        <f>DATE(YEAR(CA48)+2,MONTH(CA48),DAY(CA48))</f>
        <v>731</v>
      </c>
      <c r="CT48" s="196"/>
      <c r="CU48" s="882" t="e">
        <f t="shared" si="135"/>
        <v>#NUM!</v>
      </c>
      <c r="CV48" s="196"/>
      <c r="CW48" s="749">
        <v>43387</v>
      </c>
      <c r="CX48" s="513">
        <v>43403</v>
      </c>
      <c r="CY48" s="565"/>
      <c r="CZ48" s="122"/>
      <c r="DA48" s="125"/>
      <c r="DB48" s="125"/>
      <c r="DC48" s="125"/>
      <c r="DD48" s="125"/>
      <c r="DE48" s="125"/>
      <c r="DF48" s="56"/>
      <c r="DG48" s="296">
        <f t="shared" si="174"/>
        <v>43722</v>
      </c>
      <c r="DH48" s="56"/>
      <c r="DI48" s="56"/>
      <c r="DJ48" s="56"/>
      <c r="DK48" s="56"/>
      <c r="DL48" s="56"/>
      <c r="DM48" s="56"/>
      <c r="DN48" s="56"/>
      <c r="DO48" s="118"/>
      <c r="DP48" s="56"/>
      <c r="DQ48" s="56"/>
      <c r="DR48" s="56"/>
      <c r="DS48" s="56"/>
      <c r="DT48" s="126"/>
      <c r="DU48" s="126"/>
      <c r="DV48" s="126"/>
      <c r="DW48" s="691" t="str">
        <f t="shared" si="136"/>
        <v>0</v>
      </c>
      <c r="DX48" s="126"/>
      <c r="DY48" s="126"/>
      <c r="DZ48" s="691" t="str">
        <f t="shared" si="137"/>
        <v>0</v>
      </c>
      <c r="EA48" s="126"/>
      <c r="EB48" s="126"/>
      <c r="EC48" s="691" t="str">
        <f t="shared" si="138"/>
        <v>0</v>
      </c>
      <c r="ED48" s="133"/>
      <c r="EE48" s="126"/>
      <c r="EF48" s="691" t="str">
        <f t="shared" si="139"/>
        <v>0</v>
      </c>
      <c r="EG48" s="126"/>
      <c r="EH48" s="126"/>
      <c r="EI48" s="691" t="str">
        <f t="shared" si="140"/>
        <v>0</v>
      </c>
      <c r="EJ48" s="126"/>
      <c r="EK48" s="126"/>
      <c r="EL48" s="126"/>
      <c r="EM48" s="691" t="str">
        <f t="shared" si="141"/>
        <v>0</v>
      </c>
      <c r="EN48" s="126"/>
      <c r="EO48" s="126"/>
      <c r="EP48" s="691" t="str">
        <f t="shared" si="142"/>
        <v>0</v>
      </c>
      <c r="EQ48" s="126"/>
      <c r="ER48" s="126"/>
      <c r="ES48" s="691" t="str">
        <f t="shared" si="143"/>
        <v>0</v>
      </c>
      <c r="ET48" s="340"/>
      <c r="EU48" s="831"/>
      <c r="EV48" s="832" t="str">
        <f t="shared" si="144"/>
        <v>0</v>
      </c>
      <c r="EW48" s="701"/>
      <c r="EX48" s="701"/>
      <c r="EY48" s="697" t="str">
        <f t="shared" si="145"/>
        <v>0</v>
      </c>
      <c r="EZ48" s="701"/>
      <c r="FA48" s="701"/>
      <c r="FB48" s="697" t="str">
        <f t="shared" si="146"/>
        <v>0</v>
      </c>
      <c r="FC48" s="701"/>
      <c r="FD48" s="701"/>
      <c r="FE48" s="697" t="str">
        <f t="shared" si="147"/>
        <v>0</v>
      </c>
      <c r="FF48" s="701"/>
      <c r="FG48" s="701"/>
      <c r="FH48" s="697" t="str">
        <f t="shared" si="148"/>
        <v>0</v>
      </c>
      <c r="FI48" s="701"/>
      <c r="FJ48" s="701"/>
      <c r="FK48" s="697" t="str">
        <f t="shared" si="149"/>
        <v>0</v>
      </c>
      <c r="FL48" s="703"/>
      <c r="FM48" s="703"/>
      <c r="FN48" s="703"/>
      <c r="FO48" s="701"/>
      <c r="FP48" s="701">
        <f t="shared" si="187"/>
        <v>43357</v>
      </c>
      <c r="FQ48" s="699">
        <f t="shared" si="200"/>
        <v>0</v>
      </c>
      <c r="FR48" s="701"/>
      <c r="FS48" s="701">
        <f t="shared" si="188"/>
        <v>43403</v>
      </c>
      <c r="FT48" s="727"/>
      <c r="FU48" s="727">
        <v>0</v>
      </c>
      <c r="FV48" s="727" t="s">
        <v>616</v>
      </c>
      <c r="FW48" s="727"/>
      <c r="FX48" s="728">
        <f t="shared" si="151"/>
        <v>0</v>
      </c>
      <c r="FY48" s="728">
        <f t="shared" si="152"/>
        <v>1446.7666666666667</v>
      </c>
      <c r="FZ48" s="724"/>
      <c r="GA48" s="741"/>
      <c r="GB48" s="741"/>
      <c r="GC48" s="741"/>
      <c r="GD48" s="113"/>
      <c r="GE48" s="117"/>
      <c r="GF48" s="11">
        <f>GP48+GU48+HB48</f>
        <v>1416864.7499111779</v>
      </c>
      <c r="GG48" s="70">
        <f t="shared" si="189"/>
        <v>1499983.8900000001</v>
      </c>
      <c r="GH48" s="13">
        <f>GG48-GF48</f>
        <v>83119.140088822227</v>
      </c>
      <c r="GI48" s="52">
        <f t="shared" si="154"/>
        <v>1152.4950941598606</v>
      </c>
      <c r="GJ48" s="52">
        <f t="shared" si="155"/>
        <v>124998.65750000002</v>
      </c>
      <c r="GK48" s="11">
        <v>1249637.106694787</v>
      </c>
      <c r="GL48" s="12"/>
      <c r="GM48" s="13">
        <f t="shared" si="156"/>
        <v>-1249637.106694787</v>
      </c>
      <c r="GN48" s="135">
        <f t="shared" si="186"/>
        <v>0</v>
      </c>
      <c r="GO48" s="137">
        <v>0.39750000000000002</v>
      </c>
      <c r="GP48" s="11">
        <v>410870.74991117785</v>
      </c>
      <c r="GQ48" s="917">
        <v>443491.89</v>
      </c>
      <c r="GR48" s="925"/>
      <c r="GS48" s="920">
        <f t="shared" si="158"/>
        <v>36957.657500000001</v>
      </c>
      <c r="GT48" s="38">
        <f>GQ48-GP48</f>
        <v>32621.140088822169</v>
      </c>
      <c r="GU48" s="11">
        <v>789994</v>
      </c>
      <c r="GV48" s="12">
        <f>GW48+GX48</f>
        <v>771556</v>
      </c>
      <c r="GW48" s="14">
        <v>172922</v>
      </c>
      <c r="GX48" s="14">
        <v>598634</v>
      </c>
      <c r="GY48" s="38">
        <f>GV48-GU48</f>
        <v>-18438</v>
      </c>
      <c r="GZ48" s="888">
        <f t="shared" si="162"/>
        <v>64296.333333333336</v>
      </c>
      <c r="HA48" s="12"/>
      <c r="HB48" s="11">
        <v>216000</v>
      </c>
      <c r="HC48" s="12">
        <v>266000</v>
      </c>
      <c r="HD48" s="70"/>
      <c r="HE48" s="41">
        <f t="shared" si="163"/>
        <v>0.17733523791378852</v>
      </c>
      <c r="HF48" s="326"/>
      <c r="HG48" s="12">
        <f>9552+9384</f>
        <v>18936</v>
      </c>
      <c r="HH48" s="23">
        <f t="shared" si="164"/>
        <v>50000</v>
      </c>
      <c r="HI48" s="22">
        <f t="shared" si="165"/>
        <v>22166.666666666668</v>
      </c>
      <c r="HJ48" s="84">
        <f t="shared" si="166"/>
        <v>59124.324166666665</v>
      </c>
      <c r="HK48" s="23">
        <f>HH48/AD48</f>
        <v>4166.666666666667</v>
      </c>
      <c r="HL48" s="51">
        <v>5.85</v>
      </c>
      <c r="HM48" s="51">
        <v>5.84</v>
      </c>
      <c r="HN48" s="40">
        <v>0</v>
      </c>
      <c r="HO48" s="40">
        <v>0</v>
      </c>
      <c r="HP48" s="22">
        <f t="shared" si="195"/>
        <v>59124.324166666665</v>
      </c>
      <c r="HQ48" s="40">
        <v>0</v>
      </c>
      <c r="HR48" s="22">
        <f t="shared" si="196"/>
        <v>59124.324166666665</v>
      </c>
      <c r="HS48" s="53">
        <f t="shared" si="191"/>
        <v>0.47299967334982507</v>
      </c>
      <c r="HT48" s="40">
        <v>0</v>
      </c>
      <c r="HU48" s="40"/>
      <c r="HV48" s="12">
        <f t="shared" si="192"/>
        <v>0</v>
      </c>
      <c r="HW48" s="42">
        <f t="shared" si="171"/>
        <v>1499983.8900000001</v>
      </c>
      <c r="HX48" s="293"/>
      <c r="HY48" s="293">
        <f t="shared" si="201"/>
        <v>0</v>
      </c>
      <c r="HZ48" s="118"/>
      <c r="IA48" s="243"/>
      <c r="IB48" s="243"/>
      <c r="IC48" s="118"/>
      <c r="ID48" s="118"/>
      <c r="IE48" s="243"/>
      <c r="IF48" s="118"/>
      <c r="IG48" s="243"/>
      <c r="IH48" s="118"/>
      <c r="II48" s="243"/>
      <c r="IJ48" s="119"/>
      <c r="IK48" s="403"/>
      <c r="IL48" s="338"/>
      <c r="IM48" s="338"/>
      <c r="IN48" s="126"/>
      <c r="IO48" s="243"/>
      <c r="IP48" s="126"/>
      <c r="IQ48" s="243"/>
      <c r="IR48" s="323"/>
      <c r="IS48" s="323"/>
      <c r="IT48" s="323"/>
      <c r="IU48" s="323"/>
      <c r="IV48" s="286"/>
      <c r="IW48" s="286"/>
      <c r="IX48" s="286"/>
      <c r="IY48" s="286"/>
      <c r="IZ48" s="286"/>
      <c r="JA48" s="286"/>
      <c r="JB48" s="243"/>
      <c r="JC48" s="126"/>
      <c r="JD48" s="119"/>
      <c r="JE48" s="126"/>
      <c r="JF48" s="126"/>
      <c r="JG48" s="119"/>
    </row>
    <row r="49" spans="1:267" ht="24.95" customHeight="1">
      <c r="A49" s="900" t="s">
        <v>858</v>
      </c>
      <c r="B49" s="8" t="s">
        <v>103</v>
      </c>
      <c r="C49" s="8" t="s">
        <v>115</v>
      </c>
      <c r="D49" s="8">
        <v>2017</v>
      </c>
      <c r="E49" s="8" t="s">
        <v>623</v>
      </c>
      <c r="F49" s="8" t="s">
        <v>564</v>
      </c>
      <c r="G49" s="8" t="s">
        <v>519</v>
      </c>
      <c r="H49" s="8" t="s">
        <v>177</v>
      </c>
      <c r="I49" s="56"/>
      <c r="J49" s="56" t="s">
        <v>464</v>
      </c>
      <c r="K49" s="333"/>
      <c r="L49" s="171"/>
      <c r="M49" s="108"/>
      <c r="N49" s="109"/>
      <c r="O49" s="217">
        <v>4801</v>
      </c>
      <c r="P49" s="217">
        <v>473822</v>
      </c>
      <c r="Q49" s="217">
        <v>473822</v>
      </c>
      <c r="R49" s="217">
        <f t="shared" ref="R49" si="202">P49/AD49</f>
        <v>15794.066666666668</v>
      </c>
      <c r="S49" s="217">
        <f t="shared" ref="S49" si="203">P49/O49</f>
        <v>98.692355759216824</v>
      </c>
      <c r="T49" s="223">
        <f t="shared" ref="T49" si="204">Q49/O49</f>
        <v>98.692355759216824</v>
      </c>
      <c r="U49" s="223">
        <f t="shared" ref="U49" si="205">Q49/AJ49</f>
        <v>277.36300788498573</v>
      </c>
      <c r="V49" s="223">
        <f t="shared" ref="V49" si="206">Q49/AD49</f>
        <v>15794.066666666668</v>
      </c>
      <c r="W49" s="217">
        <f t="shared" ref="W49" si="207">O49/AD49</f>
        <v>160.03333333333333</v>
      </c>
      <c r="X49" s="218"/>
      <c r="Y49" s="219">
        <f t="shared" ref="Y49:Y60" si="208">AJ49/O49</f>
        <v>0.35582378671110182</v>
      </c>
      <c r="Z49" s="218"/>
      <c r="AA49" s="220"/>
      <c r="AB49" s="221"/>
      <c r="AC49" s="8" t="s">
        <v>16</v>
      </c>
      <c r="AD49" s="342">
        <f t="shared" ref="AD49:AD60" si="209">SUM(AE49:AH49)</f>
        <v>30</v>
      </c>
      <c r="AE49" s="9"/>
      <c r="AF49" s="8">
        <v>30</v>
      </c>
      <c r="AG49" s="56"/>
      <c r="AH49" s="56"/>
      <c r="AI49" s="10">
        <v>1708.31</v>
      </c>
      <c r="AJ49" s="237">
        <v>1708.31</v>
      </c>
      <c r="AK49" s="10"/>
      <c r="AL49" s="81"/>
      <c r="AM49" s="81"/>
      <c r="AN49" s="81"/>
      <c r="AO49" s="81"/>
      <c r="AP49" s="81"/>
      <c r="AQ49" s="10"/>
      <c r="AR49" s="79"/>
      <c r="AS49" s="81"/>
      <c r="AT49" s="60"/>
      <c r="AU49" s="59" t="s">
        <v>626</v>
      </c>
      <c r="AV49" s="8"/>
      <c r="AW49" s="56"/>
      <c r="AX49" s="56"/>
      <c r="AY49" s="112"/>
      <c r="AZ49" s="112"/>
      <c r="BA49" s="36" t="s">
        <v>172</v>
      </c>
      <c r="BB49" s="214">
        <v>42909</v>
      </c>
      <c r="BC49" s="101"/>
      <c r="BD49" s="101"/>
      <c r="BE49" s="214"/>
      <c r="BF49" s="101"/>
      <c r="BG49" s="169">
        <v>42967</v>
      </c>
      <c r="BH49" s="212"/>
      <c r="BI49" s="170"/>
      <c r="BJ49" s="170"/>
      <c r="BK49" s="102"/>
      <c r="BL49" s="198">
        <f t="shared" ref="BL49:BL60" si="210">DATE(YEAR(BK49),MONTH(BK49)+24,DAY(BK49))</f>
        <v>731</v>
      </c>
      <c r="BM49" s="198">
        <f t="shared" ref="BM49:BM60" si="211">DATE(YEAR(BK49),MONTH(BK49)+36,DAY(BK49))</f>
        <v>1096</v>
      </c>
      <c r="BN49" s="198"/>
      <c r="BO49" s="169"/>
      <c r="BP49" s="173"/>
      <c r="BQ49" s="102"/>
      <c r="BR49" s="103"/>
      <c r="BS49" s="103"/>
      <c r="BT49" s="103"/>
      <c r="BU49" s="165"/>
      <c r="BV49" s="172"/>
      <c r="BW49" s="266"/>
      <c r="BX49" s="166">
        <v>3443980.72</v>
      </c>
      <c r="BY49" s="172"/>
      <c r="BZ49" s="266"/>
      <c r="CA49" s="266"/>
      <c r="CB49" s="266">
        <v>43768</v>
      </c>
      <c r="CC49" s="780">
        <f t="shared" ref="CC49" si="212">(CX49-CB49)/30</f>
        <v>-6.5666666666666664</v>
      </c>
      <c r="CD49" s="615"/>
      <c r="CE49" s="598">
        <v>43070</v>
      </c>
      <c r="CF49" s="599">
        <v>2017</v>
      </c>
      <c r="CG49" s="605">
        <f t="shared" ref="CG49:CG60" si="213">(DATEDIF(BB49,CE49,"d"))/30</f>
        <v>5.3666666666666663</v>
      </c>
      <c r="CH49" s="270">
        <v>15</v>
      </c>
      <c r="CI49" s="270">
        <f t="shared" ref="CI49:CI60" si="214">CH49+1</f>
        <v>16</v>
      </c>
      <c r="CJ49" s="255">
        <f t="shared" ref="CJ49:CJ60" si="215">DATEDIF(CE49,CR49,"M")</f>
        <v>15</v>
      </c>
      <c r="CK49" s="255">
        <f t="shared" ref="CK49:CK60" si="216">DATEDIF(CE49,CX49,"M")</f>
        <v>16</v>
      </c>
      <c r="CL49" s="255">
        <f t="shared" ref="CL49:CL60" si="217">DATEDIF(CQ49,CR49,"M")</f>
        <v>0</v>
      </c>
      <c r="CM49" s="255">
        <f t="shared" ref="CM49:CM60" si="218">CK49-CI49</f>
        <v>0</v>
      </c>
      <c r="CN49" s="261"/>
      <c r="CO49" s="261">
        <f t="shared" ref="CO49:CO60" si="219">CN49*(CJ49-CH49)</f>
        <v>0</v>
      </c>
      <c r="CP49" s="256"/>
      <c r="CQ49" s="797">
        <f t="shared" ref="CQ49:CQ60" si="220">DATE(YEAR(CE49),MONTH(CE49)+CH49,DAY(CE49))</f>
        <v>43525</v>
      </c>
      <c r="CR49" s="513">
        <f t="shared" ref="CR49:CR57" si="221">DATE(YEAR(CE49),MONTH(CE49)+CH49,DAY(CE49))</f>
        <v>43525</v>
      </c>
      <c r="CS49" s="752">
        <f t="shared" ref="CS49:CS60" si="222">DATE(YEAR(CA49)+2,MONTH(CA49),DAY(CA49))</f>
        <v>731</v>
      </c>
      <c r="CT49" s="256"/>
      <c r="CU49" s="883" t="e">
        <f t="shared" ref="CU49:CU60" si="223">(DATEDIF(BB49,CT49,"d"))/30/12</f>
        <v>#NUM!</v>
      </c>
      <c r="CV49" s="256"/>
      <c r="CW49" s="749">
        <f t="shared" ref="CW49:CW56" si="224">DATE(YEAR(CR49),MONTH(CR49)+1,DAY(CR49))</f>
        <v>43556</v>
      </c>
      <c r="CX49" s="612">
        <f>DATE(YEAR(CW49),MONTH(CW49),DAY(CW49)+15)</f>
        <v>43571</v>
      </c>
      <c r="CY49" s="753"/>
      <c r="CZ49" s="122"/>
      <c r="DA49" s="125"/>
      <c r="DB49" s="125"/>
      <c r="DC49" s="125"/>
      <c r="DD49" s="125"/>
      <c r="DE49" s="125"/>
      <c r="DF49" s="56"/>
      <c r="DG49" s="296">
        <f t="shared" ref="DG49:DG60" si="225">DATE(YEAR(CR49)+1,MONTH(CR49),DAY(CR49))</f>
        <v>43891</v>
      </c>
      <c r="DH49" s="56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92"/>
      <c r="DU49" s="126"/>
      <c r="DV49" s="126"/>
      <c r="DW49" s="691" t="str">
        <f t="shared" ref="DW49:DW60" si="226">IF(AND(DU49&gt;0,DV49&gt;0),DV49-DU49,"0")</f>
        <v>0</v>
      </c>
      <c r="DX49" s="126">
        <v>42772</v>
      </c>
      <c r="DY49" s="126">
        <v>42731</v>
      </c>
      <c r="DZ49" s="691">
        <f t="shared" ref="DZ49:DZ60" si="227">IF(AND(DX49&gt;0,DY49&gt;0),DY49-DX49,"0")</f>
        <v>-41</v>
      </c>
      <c r="EA49" s="340"/>
      <c r="EB49" s="340"/>
      <c r="EC49" s="691" t="str">
        <f t="shared" ref="EC49:EC60" si="228">IF(AND(EA49&gt;0,EB49&gt;0),EB49-EA49,"0")</f>
        <v>0</v>
      </c>
      <c r="ED49" s="126"/>
      <c r="EE49" s="126"/>
      <c r="EF49" s="691" t="str">
        <f t="shared" ref="EF49:EF60" si="229">IF(AND(ED49&gt;0,EE49&gt;0),EE49-ED49,"0")</f>
        <v>0</v>
      </c>
      <c r="EG49" s="126"/>
      <c r="EH49" s="126"/>
      <c r="EI49" s="691" t="str">
        <f t="shared" ref="EI49:EI60" si="230">IF(AND(EG49&gt;0,EH49&gt;0),EH49-EG49,"0")</f>
        <v>0</v>
      </c>
      <c r="EJ49" s="593"/>
      <c r="EK49" s="340">
        <v>43069</v>
      </c>
      <c r="EL49" s="126">
        <v>43073</v>
      </c>
      <c r="EM49" s="691">
        <f t="shared" ref="EM49:EM60" si="231">IF(AND(EK49&gt;0,EL49&gt;0),EL49-EK49,"0")</f>
        <v>4</v>
      </c>
      <c r="EN49" s="340">
        <v>43080</v>
      </c>
      <c r="EO49" s="126">
        <v>43070</v>
      </c>
      <c r="EP49" s="691">
        <f t="shared" ref="EP49:EP60" si="232">IF(AND(EN49&gt;0,EO49&gt;0),EO49-EN49,"0")</f>
        <v>-10</v>
      </c>
      <c r="EQ49" s="695"/>
      <c r="ER49" s="701">
        <f t="shared" ref="ER49:ER60" ca="1" si="233">IF(EQ49&lt;TODAY(),TODAY(),EQ49)</f>
        <v>43188</v>
      </c>
      <c r="ES49" s="697" t="str">
        <f t="shared" ref="ES49:ES60" ca="1" si="234">IF(AND(EQ49&gt;0,ER49&gt;0),ER49-EQ49,"0")</f>
        <v>0</v>
      </c>
      <c r="ET49" s="695"/>
      <c r="EU49" s="722">
        <f t="shared" ref="EU49:EU60" ca="1" si="235">IF(ET49&lt;TODAY(),TODAY(),ET49)</f>
        <v>43188</v>
      </c>
      <c r="EV49" s="698" t="str">
        <f t="shared" ref="EV49:EV60" ca="1" si="236">IF(AND(ET49&gt;0,EU49&gt;0),EU49-ET49,"0")</f>
        <v>0</v>
      </c>
      <c r="EW49" s="701"/>
      <c r="EX49" s="701">
        <f t="shared" ref="EX49:EX60" ca="1" si="237">IF(EW49&lt;TODAY(),TODAY(),EW49)</f>
        <v>43188</v>
      </c>
      <c r="EY49" s="697" t="str">
        <f t="shared" ref="EY49:EY60" ca="1" si="238">IF(AND(EW49&gt;0,EX49&gt;0),EX49-EW49,"0")</f>
        <v>0</v>
      </c>
      <c r="EZ49" s="701"/>
      <c r="FA49" s="701">
        <f t="shared" ref="FA49:FA60" ca="1" si="239">IF(EZ49&lt;TODAY(),TODAY(),EZ49)</f>
        <v>43188</v>
      </c>
      <c r="FB49" s="697" t="str">
        <f t="shared" ref="FB49:FB60" ca="1" si="240">IF(AND(EZ49&gt;0,FA49&gt;0),FA49-EZ49,"0")</f>
        <v>0</v>
      </c>
      <c r="FC49" s="701"/>
      <c r="FD49" s="701">
        <f t="shared" ref="FD49:FD55" ca="1" si="241">IF(FC49&lt;TODAY(),TODAY(),FC49)</f>
        <v>43188</v>
      </c>
      <c r="FE49" s="697" t="str">
        <f t="shared" ref="FE49:FE60" ca="1" si="242">IF(AND(FC49&gt;0,FD49&gt;0),FD49-FC49,"0")</f>
        <v>0</v>
      </c>
      <c r="FF49" s="701"/>
      <c r="FG49" s="701">
        <f t="shared" ref="FG49:FG55" ca="1" si="243">IF(FF49&lt;TODAY(),TODAY(),FF49)</f>
        <v>43188</v>
      </c>
      <c r="FH49" s="697" t="str">
        <f t="shared" ref="FH49:FH60" ca="1" si="244">IF(AND(FF49&gt;0,FG49&gt;0),FG49-FF49,"0")</f>
        <v>0</v>
      </c>
      <c r="FI49" s="701"/>
      <c r="FJ49" s="701">
        <f t="shared" ref="FJ49:FJ55" ca="1" si="245">IF(FI49&lt;TODAY(),TODAY(),FI49)</f>
        <v>43188</v>
      </c>
      <c r="FK49" s="697" t="str">
        <f t="shared" ref="FK49:FK60" ca="1" si="246">IF(AND(FI49&gt;0,FJ49&gt;0),FJ49-FI49,"0")</f>
        <v>0</v>
      </c>
      <c r="FL49" s="701"/>
      <c r="FM49" s="701"/>
      <c r="FN49" s="701"/>
      <c r="FO49" s="701">
        <v>43620</v>
      </c>
      <c r="FP49" s="701">
        <f t="shared" ref="FP49:FP60" si="247">CR49</f>
        <v>43525</v>
      </c>
      <c r="FQ49" s="699">
        <f t="shared" ref="FQ49:FQ55" si="248">(DATEDIF(EO49,FO49,"d"))/30</f>
        <v>18.333333333333332</v>
      </c>
      <c r="FR49" s="701">
        <v>43650</v>
      </c>
      <c r="FS49" s="701">
        <f t="shared" ref="FS49:FS60" si="249">CX49</f>
        <v>43571</v>
      </c>
      <c r="FT49" s="727">
        <v>0</v>
      </c>
      <c r="FU49" s="727">
        <v>0</v>
      </c>
      <c r="FV49" s="727">
        <v>0</v>
      </c>
      <c r="FW49" s="727"/>
      <c r="FX49" s="728">
        <f t="shared" ref="FX49:FX60" si="250">(DW49+DZ49+EC49+EF49+EI49+EM49+EP49)/30</f>
        <v>-1.5666666666666667</v>
      </c>
      <c r="FY49" s="728">
        <f t="shared" ref="FY49:FY60" si="251">(FS49-FR49)/30</f>
        <v>-2.6333333333333333</v>
      </c>
      <c r="FZ49" s="724"/>
      <c r="GA49" s="741"/>
      <c r="GB49" s="724" t="s">
        <v>862</v>
      </c>
      <c r="GC49" s="724"/>
      <c r="GD49" s="113"/>
      <c r="GE49" s="117"/>
      <c r="GF49" s="11">
        <f>+GP49+GU49+HB49+HV49+HG49</f>
        <v>3803779.2429890437</v>
      </c>
      <c r="GG49" s="70">
        <f t="shared" ref="GG49" si="252">GQ49+GV49+HC49+HV49+HD49+HG49</f>
        <v>3855387</v>
      </c>
      <c r="GH49" s="11">
        <f>GG49-GF49</f>
        <v>51607.757010956295</v>
      </c>
      <c r="GI49" s="52">
        <f t="shared" ref="GI49" si="253">GG49/AI49</f>
        <v>2256.8427276079869</v>
      </c>
      <c r="GJ49" s="52">
        <f t="shared" ref="GJ49" si="254">GG49/AD49</f>
        <v>128512.9</v>
      </c>
      <c r="GK49" s="11"/>
      <c r="GL49" s="11"/>
      <c r="GM49" s="11">
        <f t="shared" ref="GM49" si="255">GL49-GK49</f>
        <v>0</v>
      </c>
      <c r="GN49" s="11">
        <f t="shared" ref="GN49" si="256">GL49*1.021/GG49</f>
        <v>0</v>
      </c>
      <c r="GO49" s="326">
        <v>0.4</v>
      </c>
      <c r="GP49" s="11">
        <v>1081657</v>
      </c>
      <c r="GQ49" s="917">
        <v>1181624</v>
      </c>
      <c r="GR49" s="925">
        <v>1181624</v>
      </c>
      <c r="GS49" s="921">
        <f t="shared" ref="GS49" si="257">GQ49/AD49</f>
        <v>39387.466666666667</v>
      </c>
      <c r="GT49" s="11">
        <f t="shared" ref="GT49:GT60" si="258">GQ49-GP49</f>
        <v>99967</v>
      </c>
      <c r="GU49" s="586">
        <v>2022122.2429890437</v>
      </c>
      <c r="GV49" s="12">
        <f>GW49+GX49</f>
        <v>1973763</v>
      </c>
      <c r="GW49" s="14">
        <v>459254</v>
      </c>
      <c r="GX49" s="14">
        <f>1641033-126524</f>
        <v>1514509</v>
      </c>
      <c r="GY49" s="38">
        <f>GV49-GU49</f>
        <v>-48359.242989043705</v>
      </c>
      <c r="GZ49" s="888">
        <f t="shared" ref="GZ49" si="259">GV49/AD49</f>
        <v>65792.100000000006</v>
      </c>
      <c r="HA49" s="12"/>
      <c r="HB49" s="11">
        <v>700000</v>
      </c>
      <c r="HC49" s="12">
        <v>700000</v>
      </c>
      <c r="HD49" s="70"/>
      <c r="HE49" s="41">
        <f t="shared" ref="HE49:HE60" si="260">HC49/GG49</f>
        <v>0.18156413350981368</v>
      </c>
      <c r="HF49" s="326"/>
      <c r="HG49" s="12"/>
      <c r="HH49" s="23">
        <f t="shared" ref="HH49:HH60" si="261">HC49-HB49</f>
        <v>0</v>
      </c>
      <c r="HI49" s="22">
        <f t="shared" ref="HI49:HI60" si="262">HC49/AD49</f>
        <v>23333.333333333332</v>
      </c>
      <c r="HJ49" s="84">
        <f t="shared" ref="HJ49:HJ60" si="263">(GQ49+HC49)/AD49</f>
        <v>62720.800000000003</v>
      </c>
      <c r="HK49" s="23">
        <f t="shared" ref="HK49:HK60" si="264">HH49/AD49</f>
        <v>0</v>
      </c>
      <c r="HL49" s="50"/>
      <c r="HM49" s="50"/>
      <c r="HN49" s="40"/>
      <c r="HO49" s="40"/>
      <c r="HP49" s="22">
        <f t="shared" ref="HP49:HP56" si="265">(GP49+HB49+HO49)/AD49</f>
        <v>59388.566666666666</v>
      </c>
      <c r="HQ49" s="40"/>
      <c r="HR49" s="22">
        <f t="shared" ref="HR49" si="266">(GQ49+HC49+HO49+HQ49)/AD49</f>
        <v>62720.800000000003</v>
      </c>
      <c r="HS49" s="53">
        <f t="shared" ref="HS49:HS56" si="267">(GP49+HB49+HO49+HQ49)/(HN49+GF49-HT49)</f>
        <v>0.46839127251768636</v>
      </c>
      <c r="HT49" s="40"/>
      <c r="HU49" s="40"/>
      <c r="HV49" s="12">
        <f t="shared" si="192"/>
        <v>0</v>
      </c>
      <c r="HW49" s="42">
        <f t="shared" ref="HW49:HW56" si="268">GF49+HN49</f>
        <v>3803779.2429890437</v>
      </c>
      <c r="HX49" s="293">
        <v>178239</v>
      </c>
      <c r="HY49" s="293">
        <f t="shared" ref="HY49:HY60" si="269">IA49+IC49+IE49+IG49+II49+IK49+IM49+IO49+IQ49+IS49+IU49+IW49+IY49+JA49+JC49+JE49+JG49</f>
        <v>124768</v>
      </c>
      <c r="HZ49" s="250"/>
      <c r="IA49" s="413"/>
      <c r="IB49" s="413"/>
      <c r="IC49" s="410"/>
      <c r="ID49" s="410"/>
      <c r="IE49" s="413"/>
      <c r="IF49" s="410">
        <v>42829</v>
      </c>
      <c r="IG49" s="414">
        <v>43954</v>
      </c>
      <c r="IH49" s="410"/>
      <c r="II49" s="414"/>
      <c r="IJ49" s="309"/>
      <c r="IK49" s="415"/>
      <c r="IL49" s="411"/>
      <c r="IM49" s="411"/>
      <c r="IN49" s="126">
        <v>43074</v>
      </c>
      <c r="IO49" s="339">
        <v>54078</v>
      </c>
      <c r="IP49" s="126">
        <v>43092</v>
      </c>
      <c r="IQ49" s="339">
        <v>17824</v>
      </c>
      <c r="IR49" s="126">
        <v>43153</v>
      </c>
      <c r="IS49" s="339">
        <v>8912</v>
      </c>
      <c r="IT49" s="323"/>
      <c r="IU49" s="323"/>
      <c r="IV49" s="286"/>
      <c r="IW49" s="286"/>
      <c r="IX49" s="286"/>
      <c r="IY49" s="286"/>
      <c r="IZ49" s="286"/>
      <c r="JA49" s="286"/>
      <c r="JB49" s="409">
        <v>43954</v>
      </c>
      <c r="JC49" s="592"/>
      <c r="JD49" s="119"/>
      <c r="JE49" s="592"/>
      <c r="JF49" s="592"/>
      <c r="JG49" s="119"/>
    </row>
    <row r="50" spans="1:267" ht="20.25" customHeight="1">
      <c r="A50" s="846" t="s">
        <v>490</v>
      </c>
      <c r="B50" s="8" t="s">
        <v>28</v>
      </c>
      <c r="C50" s="8" t="s">
        <v>113</v>
      </c>
      <c r="D50" s="8">
        <v>2017</v>
      </c>
      <c r="E50" s="8"/>
      <c r="F50" s="8" t="s">
        <v>488</v>
      </c>
      <c r="G50" s="8" t="s">
        <v>184</v>
      </c>
      <c r="H50" s="8" t="s">
        <v>179</v>
      </c>
      <c r="I50" s="56"/>
      <c r="J50" s="56" t="s">
        <v>491</v>
      </c>
      <c r="K50" s="272" t="s">
        <v>553</v>
      </c>
      <c r="L50" s="171" t="s">
        <v>64</v>
      </c>
      <c r="M50" s="108" t="s">
        <v>523</v>
      </c>
      <c r="N50" s="109">
        <v>34851</v>
      </c>
      <c r="O50" s="243"/>
      <c r="P50" s="243"/>
      <c r="Q50" s="243"/>
      <c r="R50" s="243"/>
      <c r="S50" s="243"/>
      <c r="T50" s="819"/>
      <c r="U50" s="819"/>
      <c r="V50" s="819"/>
      <c r="W50" s="243"/>
      <c r="X50" s="218"/>
      <c r="Y50" s="226" t="e">
        <f t="shared" si="208"/>
        <v>#DIV/0!</v>
      </c>
      <c r="Z50" s="218"/>
      <c r="AA50" s="220"/>
      <c r="AB50" s="221"/>
      <c r="AC50" s="8" t="s">
        <v>487</v>
      </c>
      <c r="AD50" s="342">
        <f t="shared" si="209"/>
        <v>10</v>
      </c>
      <c r="AE50" s="9"/>
      <c r="AF50" s="850"/>
      <c r="AG50" s="119"/>
      <c r="AH50" s="203">
        <v>10</v>
      </c>
      <c r="AI50" s="10"/>
      <c r="AJ50" s="237"/>
      <c r="AK50" s="10"/>
      <c r="AL50" s="81"/>
      <c r="AM50" s="81"/>
      <c r="AN50" s="81"/>
      <c r="AO50" s="81"/>
      <c r="AP50" s="81"/>
      <c r="AQ50" s="10"/>
      <c r="AR50" s="79"/>
      <c r="AS50" s="81"/>
      <c r="AT50" s="60"/>
      <c r="AU50" s="56"/>
      <c r="AV50" s="8"/>
      <c r="AW50" s="56"/>
      <c r="AX50" s="56"/>
      <c r="AY50" s="112"/>
      <c r="AZ50" s="112"/>
      <c r="BA50" s="36"/>
      <c r="BB50" s="214">
        <v>43005</v>
      </c>
      <c r="BC50" s="101"/>
      <c r="BD50" s="101"/>
      <c r="BE50" s="214"/>
      <c r="BF50" s="101"/>
      <c r="BG50" s="169"/>
      <c r="BH50" s="212"/>
      <c r="BI50" s="170"/>
      <c r="BJ50" s="170"/>
      <c r="BK50" s="102"/>
      <c r="BL50" s="198">
        <f t="shared" si="210"/>
        <v>731</v>
      </c>
      <c r="BM50" s="198">
        <f t="shared" si="211"/>
        <v>1096</v>
      </c>
      <c r="BN50" s="198"/>
      <c r="BO50" s="169"/>
      <c r="BP50" s="173"/>
      <c r="BQ50" s="102"/>
      <c r="BR50" s="103"/>
      <c r="BS50" s="103"/>
      <c r="BT50" s="103"/>
      <c r="BU50" s="165"/>
      <c r="BV50" s="172"/>
      <c r="BW50" s="266"/>
      <c r="BX50" s="166"/>
      <c r="BY50" s="172"/>
      <c r="BZ50" s="266"/>
      <c r="CA50" s="266"/>
      <c r="CB50" s="517"/>
      <c r="CC50" s="781"/>
      <c r="CD50" s="615"/>
      <c r="CE50" s="452">
        <v>43191</v>
      </c>
      <c r="CF50" s="445"/>
      <c r="CG50" s="600">
        <f t="shared" si="213"/>
        <v>6.2</v>
      </c>
      <c r="CH50" s="260">
        <v>12</v>
      </c>
      <c r="CI50" s="260">
        <f t="shared" si="214"/>
        <v>13</v>
      </c>
      <c r="CJ50" s="255">
        <f t="shared" si="215"/>
        <v>12</v>
      </c>
      <c r="CK50" s="255">
        <f t="shared" si="216"/>
        <v>13</v>
      </c>
      <c r="CL50" s="255">
        <f t="shared" si="217"/>
        <v>0</v>
      </c>
      <c r="CM50" s="255">
        <f t="shared" si="218"/>
        <v>0</v>
      </c>
      <c r="CN50" s="261"/>
      <c r="CO50" s="261">
        <f t="shared" si="219"/>
        <v>0</v>
      </c>
      <c r="CP50" s="256"/>
      <c r="CQ50" s="797">
        <f t="shared" si="220"/>
        <v>43556</v>
      </c>
      <c r="CR50" s="454">
        <f t="shared" si="221"/>
        <v>43556</v>
      </c>
      <c r="CS50" s="752">
        <f t="shared" si="222"/>
        <v>731</v>
      </c>
      <c r="CT50" s="256"/>
      <c r="CU50" s="883" t="e">
        <f t="shared" si="223"/>
        <v>#NUM!</v>
      </c>
      <c r="CV50" s="256"/>
      <c r="CW50" s="750">
        <f t="shared" si="224"/>
        <v>43586</v>
      </c>
      <c r="CX50" s="612">
        <f t="shared" ref="CX50:CX59" si="270">CW50</f>
        <v>43586</v>
      </c>
      <c r="CY50" s="753"/>
      <c r="CZ50" s="122"/>
      <c r="DA50" s="125"/>
      <c r="DB50" s="125"/>
      <c r="DC50" s="125"/>
      <c r="DD50" s="125"/>
      <c r="DE50" s="125"/>
      <c r="DF50" s="56"/>
      <c r="DG50" s="296">
        <f t="shared" si="225"/>
        <v>43922</v>
      </c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340">
        <v>42773</v>
      </c>
      <c r="DU50" s="126"/>
      <c r="DV50" s="126"/>
      <c r="DW50" s="691" t="str">
        <f t="shared" si="226"/>
        <v>0</v>
      </c>
      <c r="DX50" s="126">
        <v>42874</v>
      </c>
      <c r="DY50" s="126">
        <v>42879</v>
      </c>
      <c r="DZ50" s="691">
        <f t="shared" si="227"/>
        <v>5</v>
      </c>
      <c r="EA50" s="340">
        <v>42877</v>
      </c>
      <c r="EB50" s="340">
        <v>42853</v>
      </c>
      <c r="EC50" s="691">
        <f t="shared" si="228"/>
        <v>-24</v>
      </c>
      <c r="ED50" s="713">
        <v>42879</v>
      </c>
      <c r="EE50" s="710">
        <f ca="1">IF(ED50&lt;TODAY(),TODAY(),ED50)</f>
        <v>43188</v>
      </c>
      <c r="EF50" s="715">
        <f t="shared" ca="1" si="229"/>
        <v>309</v>
      </c>
      <c r="EG50" s="713">
        <v>42962</v>
      </c>
      <c r="EH50" s="713">
        <f ca="1">IF(EG50&lt;TODAY(),TODAY(),EG50)</f>
        <v>43188</v>
      </c>
      <c r="EI50" s="715">
        <f t="shared" ca="1" si="230"/>
        <v>226</v>
      </c>
      <c r="EJ50" s="718"/>
      <c r="EK50" s="706">
        <v>43045</v>
      </c>
      <c r="EL50" s="701">
        <f t="shared" ref="EL50:EL56" ca="1" si="271">IF(EK50&lt;TODAY(),TODAY(),EK50)</f>
        <v>43188</v>
      </c>
      <c r="EM50" s="697">
        <f t="shared" ca="1" si="231"/>
        <v>143</v>
      </c>
      <c r="EN50" s="706">
        <v>43049</v>
      </c>
      <c r="EO50" s="701">
        <f t="shared" ref="EO50:EO56" ca="1" si="272">IF(EN50&lt;TODAY(),TODAY(),EN50)</f>
        <v>43188</v>
      </c>
      <c r="EP50" s="697">
        <f t="shared" ca="1" si="232"/>
        <v>139</v>
      </c>
      <c r="EQ50" s="695"/>
      <c r="ER50" s="701">
        <f t="shared" ca="1" si="233"/>
        <v>43188</v>
      </c>
      <c r="ES50" s="697" t="str">
        <f t="shared" ca="1" si="234"/>
        <v>0</v>
      </c>
      <c r="ET50" s="695"/>
      <c r="EU50" s="722">
        <f t="shared" ca="1" si="235"/>
        <v>43188</v>
      </c>
      <c r="EV50" s="698" t="str">
        <f t="shared" ca="1" si="236"/>
        <v>0</v>
      </c>
      <c r="EW50" s="701"/>
      <c r="EX50" s="722">
        <f t="shared" ca="1" si="237"/>
        <v>43188</v>
      </c>
      <c r="EY50" s="697" t="str">
        <f t="shared" ca="1" si="238"/>
        <v>0</v>
      </c>
      <c r="EZ50" s="695"/>
      <c r="FA50" s="701">
        <f t="shared" ca="1" si="239"/>
        <v>43188</v>
      </c>
      <c r="FB50" s="697" t="str">
        <f t="shared" ca="1" si="240"/>
        <v>0</v>
      </c>
      <c r="FC50" s="701"/>
      <c r="FD50" s="701">
        <f t="shared" ca="1" si="241"/>
        <v>43188</v>
      </c>
      <c r="FE50" s="697" t="str">
        <f t="shared" ca="1" si="242"/>
        <v>0</v>
      </c>
      <c r="FF50" s="701"/>
      <c r="FG50" s="701">
        <f t="shared" ca="1" si="243"/>
        <v>43188</v>
      </c>
      <c r="FH50" s="697" t="str">
        <f t="shared" ca="1" si="244"/>
        <v>0</v>
      </c>
      <c r="FI50" s="701"/>
      <c r="FJ50" s="701">
        <f t="shared" ca="1" si="245"/>
        <v>43188</v>
      </c>
      <c r="FK50" s="697" t="str">
        <f t="shared" ca="1" si="246"/>
        <v>0</v>
      </c>
      <c r="FL50" s="701"/>
      <c r="FM50" s="701"/>
      <c r="FN50" s="701"/>
      <c r="FO50" s="701">
        <v>43781</v>
      </c>
      <c r="FP50" s="701">
        <f t="shared" si="247"/>
        <v>43556</v>
      </c>
      <c r="FQ50" s="699">
        <f t="shared" ca="1" si="248"/>
        <v>19.766666666666666</v>
      </c>
      <c r="FR50" s="701">
        <v>43811</v>
      </c>
      <c r="FS50" s="701">
        <f t="shared" si="249"/>
        <v>43586</v>
      </c>
      <c r="FT50" s="727">
        <v>0</v>
      </c>
      <c r="FU50" s="727">
        <v>0</v>
      </c>
      <c r="FV50" s="727"/>
      <c r="FW50" s="727"/>
      <c r="FX50" s="728">
        <f t="shared" ca="1" si="250"/>
        <v>26.6</v>
      </c>
      <c r="FY50" s="728">
        <f t="shared" si="251"/>
        <v>-7.5</v>
      </c>
      <c r="FZ50" s="724"/>
      <c r="GA50" s="741"/>
      <c r="GB50" s="741" t="s">
        <v>897</v>
      </c>
      <c r="GC50" s="724" t="s">
        <v>859</v>
      </c>
      <c r="GD50" s="113"/>
      <c r="GE50" s="117"/>
      <c r="GF50" s="494">
        <f t="shared" ref="GF50:GF55" si="273">+GP50+GU50+HB50+HV50+HG50+HF50</f>
        <v>0</v>
      </c>
      <c r="GG50" s="493">
        <f t="shared" ref="GG50:GG55" si="274">GQ50+GV50+HA50+HC50+HG50</f>
        <v>0</v>
      </c>
      <c r="GH50" s="494"/>
      <c r="GI50" s="493"/>
      <c r="GJ50" s="493"/>
      <c r="GK50" s="494"/>
      <c r="GL50" s="494"/>
      <c r="GM50" s="494"/>
      <c r="GN50" s="209"/>
      <c r="GO50" s="111"/>
      <c r="GP50" s="853"/>
      <c r="GQ50" s="494"/>
      <c r="GR50" s="931"/>
      <c r="GS50" s="494">
        <f t="shared" ref="GS50:GS55" si="275">GP50/AD50</f>
        <v>0</v>
      </c>
      <c r="GT50" s="494">
        <f t="shared" si="258"/>
        <v>0</v>
      </c>
      <c r="GU50" s="854"/>
      <c r="GV50" s="494"/>
      <c r="GW50" s="494"/>
      <c r="GX50" s="494"/>
      <c r="GY50" s="494"/>
      <c r="GZ50" s="890">
        <f t="shared" ref="GZ50:GZ55" si="276">GU50/AD50</f>
        <v>0</v>
      </c>
      <c r="HA50" s="494"/>
      <c r="HB50" s="494"/>
      <c r="HC50" s="494"/>
      <c r="HD50" s="493"/>
      <c r="HE50" s="495" t="e">
        <f t="shared" si="260"/>
        <v>#DIV/0!</v>
      </c>
      <c r="HF50" s="493"/>
      <c r="HG50" s="494"/>
      <c r="HH50" s="494">
        <f t="shared" si="261"/>
        <v>0</v>
      </c>
      <c r="HI50" s="494">
        <f t="shared" si="262"/>
        <v>0</v>
      </c>
      <c r="HJ50" s="496">
        <f t="shared" si="263"/>
        <v>0</v>
      </c>
      <c r="HK50" s="494">
        <f t="shared" si="264"/>
        <v>0</v>
      </c>
      <c r="HL50" s="856"/>
      <c r="HM50" s="856"/>
      <c r="HN50" s="494"/>
      <c r="HO50" s="494"/>
      <c r="HP50" s="494">
        <f t="shared" si="265"/>
        <v>0</v>
      </c>
      <c r="HQ50" s="494"/>
      <c r="HR50" s="494">
        <f t="shared" ref="HR50:HR55" si="277">(GQ50+HB50+HO50+HQ50)/AD50</f>
        <v>0</v>
      </c>
      <c r="HS50" s="111" t="e">
        <f t="shared" si="267"/>
        <v>#DIV/0!</v>
      </c>
      <c r="HT50" s="494"/>
      <c r="HU50" s="494"/>
      <c r="HV50" s="494">
        <f t="shared" si="192"/>
        <v>0</v>
      </c>
      <c r="HW50" s="498">
        <f t="shared" si="268"/>
        <v>0</v>
      </c>
      <c r="HX50" s="293"/>
      <c r="HY50" s="293">
        <f t="shared" si="269"/>
        <v>0</v>
      </c>
      <c r="HZ50" s="294"/>
      <c r="IA50" s="297">
        <v>0</v>
      </c>
      <c r="IB50" s="297"/>
      <c r="IC50" s="269"/>
      <c r="ID50" s="269"/>
      <c r="IE50" s="491">
        <v>0</v>
      </c>
      <c r="IF50" s="278"/>
      <c r="IG50" s="290">
        <v>0</v>
      </c>
      <c r="IH50" s="278"/>
      <c r="II50" s="625"/>
      <c r="IJ50" s="295"/>
      <c r="IK50" s="300"/>
      <c r="IL50" s="298"/>
      <c r="IM50" s="298"/>
      <c r="IN50" s="292"/>
      <c r="IO50" s="297"/>
      <c r="IP50" s="292"/>
      <c r="IQ50" s="297"/>
      <c r="IR50" s="323"/>
      <c r="IS50" s="323"/>
      <c r="IT50" s="323"/>
      <c r="IU50" s="323"/>
      <c r="IV50" s="286"/>
      <c r="IW50" s="286"/>
      <c r="IX50" s="286"/>
      <c r="IY50" s="286"/>
      <c r="IZ50" s="286"/>
      <c r="JA50" s="286"/>
      <c r="JB50" s="297" t="e">
        <f t="shared" ref="JB50:JB55" si="278">$JB$1*HX50</f>
        <v>#VALUE!</v>
      </c>
      <c r="JC50" s="122"/>
      <c r="JD50" s="295"/>
      <c r="JE50" s="122"/>
      <c r="JF50" s="122"/>
      <c r="JG50" s="295"/>
    </row>
    <row r="51" spans="1:267" ht="24.95" customHeight="1">
      <c r="A51" s="846" t="s">
        <v>486</v>
      </c>
      <c r="B51" s="8" t="s">
        <v>28</v>
      </c>
      <c r="C51" s="8" t="s">
        <v>113</v>
      </c>
      <c r="D51" s="8">
        <v>2017</v>
      </c>
      <c r="E51" s="8"/>
      <c r="F51" s="8" t="s">
        <v>488</v>
      </c>
      <c r="G51" s="8" t="s">
        <v>292</v>
      </c>
      <c r="H51" s="8" t="s">
        <v>180</v>
      </c>
      <c r="I51" s="56"/>
      <c r="J51" s="56" t="s">
        <v>489</v>
      </c>
      <c r="K51" s="272" t="s">
        <v>552</v>
      </c>
      <c r="L51" s="171" t="s">
        <v>64</v>
      </c>
      <c r="M51" s="177" t="s">
        <v>526</v>
      </c>
      <c r="N51" s="109">
        <v>34914</v>
      </c>
      <c r="O51" s="243"/>
      <c r="P51" s="243"/>
      <c r="Q51" s="243"/>
      <c r="R51" s="243"/>
      <c r="S51" s="243"/>
      <c r="T51" s="819"/>
      <c r="U51" s="819"/>
      <c r="V51" s="819"/>
      <c r="W51" s="243"/>
      <c r="X51" s="218"/>
      <c r="Y51" s="226" t="e">
        <f t="shared" si="208"/>
        <v>#DIV/0!</v>
      </c>
      <c r="Z51" s="218"/>
      <c r="AA51" s="220"/>
      <c r="AB51" s="221"/>
      <c r="AC51" s="8" t="s">
        <v>487</v>
      </c>
      <c r="AD51" s="342">
        <f t="shared" si="209"/>
        <v>26</v>
      </c>
      <c r="AE51" s="9"/>
      <c r="AF51" s="850"/>
      <c r="AG51" s="119"/>
      <c r="AH51" s="203">
        <v>26</v>
      </c>
      <c r="AI51" s="10"/>
      <c r="AJ51" s="237"/>
      <c r="AK51" s="10"/>
      <c r="AL51" s="81"/>
      <c r="AM51" s="81"/>
      <c r="AN51" s="81"/>
      <c r="AO51" s="81"/>
      <c r="AP51" s="81"/>
      <c r="AQ51" s="10"/>
      <c r="AR51" s="79"/>
      <c r="AS51" s="81"/>
      <c r="AT51" s="60"/>
      <c r="AU51" s="56"/>
      <c r="AV51" s="8"/>
      <c r="AW51" s="56"/>
      <c r="AX51" s="56"/>
      <c r="AY51" s="112"/>
      <c r="AZ51" s="112"/>
      <c r="BA51" s="36"/>
      <c r="BB51" s="214">
        <v>43005</v>
      </c>
      <c r="BC51" s="101"/>
      <c r="BD51" s="101"/>
      <c r="BE51" s="214"/>
      <c r="BF51" s="101"/>
      <c r="BG51" s="169"/>
      <c r="BH51" s="212"/>
      <c r="BI51" s="170"/>
      <c r="BJ51" s="170"/>
      <c r="BK51" s="102"/>
      <c r="BL51" s="198">
        <f t="shared" si="210"/>
        <v>731</v>
      </c>
      <c r="BM51" s="198">
        <f t="shared" si="211"/>
        <v>1096</v>
      </c>
      <c r="BN51" s="198"/>
      <c r="BO51" s="169"/>
      <c r="BP51" s="173"/>
      <c r="BQ51" s="102"/>
      <c r="BR51" s="103"/>
      <c r="BS51" s="103"/>
      <c r="BT51" s="43"/>
      <c r="BU51" s="165"/>
      <c r="BV51" s="172"/>
      <c r="BW51" s="266"/>
      <c r="BX51" s="166"/>
      <c r="BY51" s="172"/>
      <c r="BZ51" s="266"/>
      <c r="CA51" s="266"/>
      <c r="CB51" s="517"/>
      <c r="CC51" s="781"/>
      <c r="CD51" s="615"/>
      <c r="CE51" s="452">
        <v>43191</v>
      </c>
      <c r="CF51" s="445"/>
      <c r="CG51" s="600">
        <f t="shared" si="213"/>
        <v>6.2</v>
      </c>
      <c r="CH51" s="260">
        <v>12</v>
      </c>
      <c r="CI51" s="260">
        <f t="shared" si="214"/>
        <v>13</v>
      </c>
      <c r="CJ51" s="255">
        <f t="shared" si="215"/>
        <v>12</v>
      </c>
      <c r="CK51" s="255">
        <f t="shared" si="216"/>
        <v>13</v>
      </c>
      <c r="CL51" s="255">
        <f t="shared" si="217"/>
        <v>0</v>
      </c>
      <c r="CM51" s="255">
        <f t="shared" si="218"/>
        <v>0</v>
      </c>
      <c r="CN51" s="261"/>
      <c r="CO51" s="261">
        <f t="shared" si="219"/>
        <v>0</v>
      </c>
      <c r="CP51" s="256"/>
      <c r="CQ51" s="797">
        <f t="shared" si="220"/>
        <v>43556</v>
      </c>
      <c r="CR51" s="454">
        <f t="shared" si="221"/>
        <v>43556</v>
      </c>
      <c r="CS51" s="752">
        <f t="shared" si="222"/>
        <v>731</v>
      </c>
      <c r="CT51" s="256"/>
      <c r="CU51" s="883" t="e">
        <f t="shared" si="223"/>
        <v>#NUM!</v>
      </c>
      <c r="CV51" s="256"/>
      <c r="CW51" s="750">
        <f t="shared" si="224"/>
        <v>43586</v>
      </c>
      <c r="CX51" s="612">
        <f t="shared" si="270"/>
        <v>43586</v>
      </c>
      <c r="CY51" s="753"/>
      <c r="CZ51" s="122"/>
      <c r="DA51" s="125"/>
      <c r="DB51" s="125"/>
      <c r="DC51" s="125"/>
      <c r="DD51" s="125"/>
      <c r="DE51" s="125"/>
      <c r="DF51" s="56"/>
      <c r="DG51" s="296">
        <f t="shared" si="225"/>
        <v>43922</v>
      </c>
      <c r="DH51" s="56"/>
      <c r="DI51" s="56"/>
      <c r="DJ51" s="56"/>
      <c r="DK51" s="56"/>
      <c r="DL51" s="56"/>
      <c r="DM51" s="56"/>
      <c r="DN51" s="56"/>
      <c r="DO51" s="56"/>
      <c r="DP51" s="56"/>
      <c r="DQ51" s="56"/>
      <c r="DR51" s="56"/>
      <c r="DS51" s="56"/>
      <c r="DT51" s="340">
        <v>42649</v>
      </c>
      <c r="DU51" s="126"/>
      <c r="DV51" s="126"/>
      <c r="DW51" s="691" t="str">
        <f t="shared" si="226"/>
        <v>0</v>
      </c>
      <c r="DX51" s="126">
        <v>42839</v>
      </c>
      <c r="DY51" s="126">
        <v>42879</v>
      </c>
      <c r="DZ51" s="691">
        <f t="shared" si="227"/>
        <v>40</v>
      </c>
      <c r="EA51" s="340">
        <v>42814</v>
      </c>
      <c r="EB51" s="340">
        <v>42793</v>
      </c>
      <c r="EC51" s="691">
        <f t="shared" si="228"/>
        <v>-21</v>
      </c>
      <c r="ED51" s="713">
        <v>42844</v>
      </c>
      <c r="EE51" s="710">
        <f ca="1">IF(ED51&lt;TODAY(),TODAY(),ED51)</f>
        <v>43188</v>
      </c>
      <c r="EF51" s="715">
        <f t="shared" ca="1" si="229"/>
        <v>344</v>
      </c>
      <c r="EG51" s="713">
        <v>42965</v>
      </c>
      <c r="EH51" s="713">
        <f ca="1">IF(EG51&lt;TODAY(),TODAY(),EG51)</f>
        <v>43188</v>
      </c>
      <c r="EI51" s="715">
        <f t="shared" ca="1" si="230"/>
        <v>223</v>
      </c>
      <c r="EJ51" s="718"/>
      <c r="EK51" s="706">
        <v>43083</v>
      </c>
      <c r="EL51" s="701">
        <f t="shared" ca="1" si="271"/>
        <v>43188</v>
      </c>
      <c r="EM51" s="697">
        <f t="shared" ca="1" si="231"/>
        <v>105</v>
      </c>
      <c r="EN51" s="706">
        <v>43090</v>
      </c>
      <c r="EO51" s="701">
        <f t="shared" ca="1" si="272"/>
        <v>43188</v>
      </c>
      <c r="EP51" s="697">
        <f t="shared" ca="1" si="232"/>
        <v>98</v>
      </c>
      <c r="EQ51" s="695"/>
      <c r="ER51" s="701">
        <f t="shared" ca="1" si="233"/>
        <v>43188</v>
      </c>
      <c r="ES51" s="697" t="str">
        <f t="shared" ca="1" si="234"/>
        <v>0</v>
      </c>
      <c r="ET51" s="695"/>
      <c r="EU51" s="722">
        <f t="shared" ca="1" si="235"/>
        <v>43188</v>
      </c>
      <c r="EV51" s="698" t="str">
        <f t="shared" ca="1" si="236"/>
        <v>0</v>
      </c>
      <c r="EW51" s="701"/>
      <c r="EX51" s="722">
        <f t="shared" ca="1" si="237"/>
        <v>43188</v>
      </c>
      <c r="EY51" s="697" t="str">
        <f t="shared" ca="1" si="238"/>
        <v>0</v>
      </c>
      <c r="EZ51" s="701"/>
      <c r="FA51" s="701">
        <f t="shared" ca="1" si="239"/>
        <v>43188</v>
      </c>
      <c r="FB51" s="697" t="str">
        <f t="shared" ca="1" si="240"/>
        <v>0</v>
      </c>
      <c r="FC51" s="701"/>
      <c r="FD51" s="701">
        <f t="shared" ca="1" si="241"/>
        <v>43188</v>
      </c>
      <c r="FE51" s="697" t="str">
        <f t="shared" ca="1" si="242"/>
        <v>0</v>
      </c>
      <c r="FF51" s="701"/>
      <c r="FG51" s="701">
        <f t="shared" ca="1" si="243"/>
        <v>43188</v>
      </c>
      <c r="FH51" s="697" t="str">
        <f t="shared" ca="1" si="244"/>
        <v>0</v>
      </c>
      <c r="FI51" s="701"/>
      <c r="FJ51" s="701">
        <f t="shared" ca="1" si="245"/>
        <v>43188</v>
      </c>
      <c r="FK51" s="697" t="str">
        <f t="shared" ca="1" si="246"/>
        <v>0</v>
      </c>
      <c r="FL51" s="701"/>
      <c r="FM51" s="701"/>
      <c r="FN51" s="701"/>
      <c r="FO51" s="701">
        <v>43819</v>
      </c>
      <c r="FP51" s="701">
        <f t="shared" si="247"/>
        <v>43556</v>
      </c>
      <c r="FQ51" s="699">
        <f t="shared" ca="1" si="248"/>
        <v>21.033333333333335</v>
      </c>
      <c r="FR51" s="701">
        <v>43850</v>
      </c>
      <c r="FS51" s="701">
        <f t="shared" si="249"/>
        <v>43586</v>
      </c>
      <c r="FT51" s="727">
        <v>0</v>
      </c>
      <c r="FU51" s="727">
        <v>0</v>
      </c>
      <c r="FV51" s="727"/>
      <c r="FW51" s="727"/>
      <c r="FX51" s="728">
        <f t="shared" ca="1" si="250"/>
        <v>26.3</v>
      </c>
      <c r="FY51" s="728">
        <f t="shared" si="251"/>
        <v>-8.8000000000000007</v>
      </c>
      <c r="FZ51" s="724"/>
      <c r="GA51" s="741"/>
      <c r="GB51" s="741"/>
      <c r="GC51" s="724"/>
      <c r="GD51" s="113"/>
      <c r="GE51" s="117"/>
      <c r="GF51" s="494">
        <f t="shared" si="273"/>
        <v>0</v>
      </c>
      <c r="GG51" s="493">
        <f t="shared" si="274"/>
        <v>0</v>
      </c>
      <c r="GH51" s="494"/>
      <c r="GI51" s="493"/>
      <c r="GJ51" s="493"/>
      <c r="GK51" s="494"/>
      <c r="GL51" s="494"/>
      <c r="GM51" s="494"/>
      <c r="GN51" s="209"/>
      <c r="GO51" s="499"/>
      <c r="GP51" s="790"/>
      <c r="GQ51" s="494"/>
      <c r="GR51" s="931"/>
      <c r="GS51" s="494">
        <f t="shared" si="275"/>
        <v>0</v>
      </c>
      <c r="GT51" s="494">
        <f t="shared" si="258"/>
        <v>0</v>
      </c>
      <c r="GU51" s="854"/>
      <c r="GV51" s="494"/>
      <c r="GW51" s="494"/>
      <c r="GX51" s="494"/>
      <c r="GY51" s="494"/>
      <c r="GZ51" s="890">
        <f t="shared" si="276"/>
        <v>0</v>
      </c>
      <c r="HA51" s="494"/>
      <c r="HB51" s="494"/>
      <c r="HC51" s="494"/>
      <c r="HD51" s="493"/>
      <c r="HE51" s="495" t="e">
        <f t="shared" si="260"/>
        <v>#DIV/0!</v>
      </c>
      <c r="HF51" s="493"/>
      <c r="HG51" s="494"/>
      <c r="HH51" s="494">
        <f t="shared" si="261"/>
        <v>0</v>
      </c>
      <c r="HI51" s="494">
        <f t="shared" si="262"/>
        <v>0</v>
      </c>
      <c r="HJ51" s="496">
        <f t="shared" si="263"/>
        <v>0</v>
      </c>
      <c r="HK51" s="494">
        <f t="shared" si="264"/>
        <v>0</v>
      </c>
      <c r="HL51" s="856"/>
      <c r="HM51" s="856"/>
      <c r="HN51" s="494"/>
      <c r="HO51" s="494"/>
      <c r="HP51" s="494">
        <f t="shared" si="265"/>
        <v>0</v>
      </c>
      <c r="HQ51" s="494"/>
      <c r="HR51" s="494">
        <f t="shared" si="277"/>
        <v>0</v>
      </c>
      <c r="HS51" s="111" t="e">
        <f t="shared" si="267"/>
        <v>#DIV/0!</v>
      </c>
      <c r="HT51" s="494"/>
      <c r="HU51" s="494"/>
      <c r="HV51" s="494">
        <f t="shared" si="192"/>
        <v>0</v>
      </c>
      <c r="HW51" s="498">
        <f t="shared" si="268"/>
        <v>0</v>
      </c>
      <c r="HX51" s="293"/>
      <c r="HY51" s="293">
        <f t="shared" si="269"/>
        <v>0</v>
      </c>
      <c r="HZ51" s="294"/>
      <c r="IA51" s="297">
        <v>0</v>
      </c>
      <c r="IB51" s="297"/>
      <c r="IC51" s="285"/>
      <c r="ID51" s="285"/>
      <c r="IE51" s="622">
        <v>0</v>
      </c>
      <c r="IF51" s="285"/>
      <c r="IG51" s="290">
        <v>0</v>
      </c>
      <c r="IH51" s="285"/>
      <c r="II51" s="625"/>
      <c r="IJ51" s="295"/>
      <c r="IK51" s="300"/>
      <c r="IL51" s="298"/>
      <c r="IM51" s="298"/>
      <c r="IN51" s="292"/>
      <c r="IO51" s="293"/>
      <c r="IP51" s="292"/>
      <c r="IQ51" s="293"/>
      <c r="IR51" s="323"/>
      <c r="IS51" s="323"/>
      <c r="IT51" s="323"/>
      <c r="IU51" s="323"/>
      <c r="IV51" s="286"/>
      <c r="IW51" s="286"/>
      <c r="IX51" s="286"/>
      <c r="IY51" s="286"/>
      <c r="IZ51" s="286"/>
      <c r="JA51" s="286"/>
      <c r="JB51" s="297" t="e">
        <f t="shared" si="278"/>
        <v>#VALUE!</v>
      </c>
      <c r="JC51" s="122"/>
      <c r="JD51" s="295"/>
      <c r="JE51" s="122"/>
      <c r="JF51" s="122"/>
      <c r="JG51" s="295"/>
    </row>
    <row r="52" spans="1:267" ht="24.95" customHeight="1">
      <c r="A52" s="315" t="s">
        <v>492</v>
      </c>
      <c r="B52" s="56" t="s">
        <v>46</v>
      </c>
      <c r="C52" s="56" t="s">
        <v>113</v>
      </c>
      <c r="D52" s="56">
        <v>2017</v>
      </c>
      <c r="E52" s="56"/>
      <c r="F52" s="56" t="s">
        <v>488</v>
      </c>
      <c r="G52" s="509" t="s">
        <v>184</v>
      </c>
      <c r="H52" s="56" t="s">
        <v>180</v>
      </c>
      <c r="I52" s="56"/>
      <c r="J52" s="56" t="s">
        <v>493</v>
      </c>
      <c r="K52" s="272" t="s">
        <v>554</v>
      </c>
      <c r="L52" s="176" t="s">
        <v>64</v>
      </c>
      <c r="M52" s="177" t="s">
        <v>530</v>
      </c>
      <c r="N52" s="178">
        <v>35049</v>
      </c>
      <c r="O52" s="243"/>
      <c r="P52" s="243"/>
      <c r="Q52" s="243"/>
      <c r="R52" s="243"/>
      <c r="S52" s="243"/>
      <c r="T52" s="819"/>
      <c r="U52" s="819"/>
      <c r="V52" s="819"/>
      <c r="W52" s="243"/>
      <c r="X52" s="218"/>
      <c r="Y52" s="226" t="e">
        <f t="shared" si="208"/>
        <v>#DIV/0!</v>
      </c>
      <c r="Z52" s="218"/>
      <c r="AA52" s="218"/>
      <c r="AB52" s="219"/>
      <c r="AC52" s="56" t="s">
        <v>487</v>
      </c>
      <c r="AD52" s="342">
        <f t="shared" si="209"/>
        <v>6</v>
      </c>
      <c r="AE52" s="67"/>
      <c r="AF52" s="119"/>
      <c r="AG52" s="119"/>
      <c r="AH52" s="203">
        <v>6</v>
      </c>
      <c r="AI52" s="60"/>
      <c r="AJ52" s="237"/>
      <c r="AK52" s="10"/>
      <c r="AL52" s="81"/>
      <c r="AM52" s="81"/>
      <c r="AN52" s="81"/>
      <c r="AO52" s="81"/>
      <c r="AP52" s="81"/>
      <c r="AQ52" s="60"/>
      <c r="AR52" s="79"/>
      <c r="AS52" s="81"/>
      <c r="AT52" s="60"/>
      <c r="AU52" s="56"/>
      <c r="AV52" s="56"/>
      <c r="AW52" s="56"/>
      <c r="AX52" s="56"/>
      <c r="AY52" s="114"/>
      <c r="AZ52" s="114"/>
      <c r="BA52" s="99"/>
      <c r="BB52" s="214">
        <v>43005</v>
      </c>
      <c r="BC52" s="101"/>
      <c r="BD52" s="101"/>
      <c r="BE52" s="214"/>
      <c r="BF52" s="101"/>
      <c r="BG52" s="169"/>
      <c r="BH52" s="212"/>
      <c r="BI52" s="170"/>
      <c r="BJ52" s="170"/>
      <c r="BK52" s="102"/>
      <c r="BL52" s="198">
        <f t="shared" si="210"/>
        <v>731</v>
      </c>
      <c r="BM52" s="198">
        <f t="shared" si="211"/>
        <v>1096</v>
      </c>
      <c r="BN52" s="198"/>
      <c r="BO52" s="169"/>
      <c r="BP52" s="175"/>
      <c r="BQ52" s="102"/>
      <c r="BR52" s="103"/>
      <c r="BS52" s="103"/>
      <c r="BT52" s="43"/>
      <c r="BU52" s="168"/>
      <c r="BV52" s="172"/>
      <c r="BW52" s="266"/>
      <c r="BX52" s="167"/>
      <c r="BY52" s="172"/>
      <c r="BZ52" s="266"/>
      <c r="CA52" s="266"/>
      <c r="CB52" s="517"/>
      <c r="CC52" s="781"/>
      <c r="CD52" s="615"/>
      <c r="CE52" s="452">
        <v>43191</v>
      </c>
      <c r="CF52" s="445"/>
      <c r="CG52" s="600">
        <f t="shared" si="213"/>
        <v>6.2</v>
      </c>
      <c r="CH52" s="260">
        <v>12</v>
      </c>
      <c r="CI52" s="260">
        <f t="shared" si="214"/>
        <v>13</v>
      </c>
      <c r="CJ52" s="255">
        <f t="shared" si="215"/>
        <v>12</v>
      </c>
      <c r="CK52" s="255">
        <f t="shared" si="216"/>
        <v>13</v>
      </c>
      <c r="CL52" s="255">
        <f t="shared" si="217"/>
        <v>0</v>
      </c>
      <c r="CM52" s="255">
        <f t="shared" si="218"/>
        <v>0</v>
      </c>
      <c r="CN52" s="261"/>
      <c r="CO52" s="261">
        <f t="shared" si="219"/>
        <v>0</v>
      </c>
      <c r="CP52" s="256"/>
      <c r="CQ52" s="797">
        <f t="shared" si="220"/>
        <v>43556</v>
      </c>
      <c r="CR52" s="454">
        <f t="shared" si="221"/>
        <v>43556</v>
      </c>
      <c r="CS52" s="752">
        <f t="shared" si="222"/>
        <v>731</v>
      </c>
      <c r="CT52" s="256"/>
      <c r="CU52" s="883" t="e">
        <f t="shared" si="223"/>
        <v>#NUM!</v>
      </c>
      <c r="CV52" s="256"/>
      <c r="CW52" s="750">
        <f t="shared" si="224"/>
        <v>43586</v>
      </c>
      <c r="CX52" s="612">
        <f t="shared" si="270"/>
        <v>43586</v>
      </c>
      <c r="CY52" s="753"/>
      <c r="CZ52" s="122"/>
      <c r="DA52" s="125"/>
      <c r="DB52" s="125"/>
      <c r="DC52" s="125"/>
      <c r="DD52" s="125"/>
      <c r="DE52" s="125"/>
      <c r="DF52" s="56"/>
      <c r="DG52" s="296">
        <f t="shared" si="225"/>
        <v>43922</v>
      </c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340">
        <v>42649</v>
      </c>
      <c r="DU52" s="126"/>
      <c r="DV52" s="126"/>
      <c r="DW52" s="691" t="str">
        <f t="shared" si="226"/>
        <v>0</v>
      </c>
      <c r="DX52" s="126">
        <v>42901</v>
      </c>
      <c r="DY52" s="126">
        <v>42884</v>
      </c>
      <c r="DZ52" s="691">
        <f t="shared" si="227"/>
        <v>-17</v>
      </c>
      <c r="EA52" s="340">
        <v>42814</v>
      </c>
      <c r="EB52" s="340">
        <v>42881</v>
      </c>
      <c r="EC52" s="691">
        <f t="shared" si="228"/>
        <v>67</v>
      </c>
      <c r="ED52" s="713">
        <v>42972</v>
      </c>
      <c r="EE52" s="710">
        <f ca="1">IF(ED52&lt;TODAY(),TODAY(),ED52)</f>
        <v>43188</v>
      </c>
      <c r="EF52" s="715">
        <f t="shared" ca="1" si="229"/>
        <v>216</v>
      </c>
      <c r="EG52" s="713">
        <v>42972</v>
      </c>
      <c r="EH52" s="713">
        <f ca="1">IF(EG52&lt;TODAY(),TODAY(),EG52)</f>
        <v>43188</v>
      </c>
      <c r="EI52" s="715">
        <f t="shared" ca="1" si="230"/>
        <v>216</v>
      </c>
      <c r="EJ52" s="718"/>
      <c r="EK52" s="706">
        <v>43074</v>
      </c>
      <c r="EL52" s="701">
        <f t="shared" ca="1" si="271"/>
        <v>43188</v>
      </c>
      <c r="EM52" s="697">
        <f t="shared" ca="1" si="231"/>
        <v>114</v>
      </c>
      <c r="EN52" s="706">
        <v>43081</v>
      </c>
      <c r="EO52" s="701">
        <f t="shared" ca="1" si="272"/>
        <v>43188</v>
      </c>
      <c r="EP52" s="697">
        <f t="shared" ca="1" si="232"/>
        <v>107</v>
      </c>
      <c r="EQ52" s="695"/>
      <c r="ER52" s="701">
        <f t="shared" ca="1" si="233"/>
        <v>43188</v>
      </c>
      <c r="ES52" s="697" t="str">
        <f t="shared" ca="1" si="234"/>
        <v>0</v>
      </c>
      <c r="ET52" s="695"/>
      <c r="EU52" s="701">
        <f t="shared" ca="1" si="235"/>
        <v>43188</v>
      </c>
      <c r="EV52" s="698" t="str">
        <f t="shared" ca="1" si="236"/>
        <v>0</v>
      </c>
      <c r="EW52" s="701"/>
      <c r="EX52" s="722">
        <f t="shared" ca="1" si="237"/>
        <v>43188</v>
      </c>
      <c r="EY52" s="697" t="str">
        <f t="shared" ca="1" si="238"/>
        <v>0</v>
      </c>
      <c r="EZ52" s="695"/>
      <c r="FA52" s="701">
        <f t="shared" ca="1" si="239"/>
        <v>43188</v>
      </c>
      <c r="FB52" s="697" t="str">
        <f t="shared" ca="1" si="240"/>
        <v>0</v>
      </c>
      <c r="FC52" s="701"/>
      <c r="FD52" s="701">
        <f t="shared" ca="1" si="241"/>
        <v>43188</v>
      </c>
      <c r="FE52" s="697" t="str">
        <f t="shared" ca="1" si="242"/>
        <v>0</v>
      </c>
      <c r="FF52" s="701"/>
      <c r="FG52" s="701">
        <f t="shared" ca="1" si="243"/>
        <v>43188</v>
      </c>
      <c r="FH52" s="697" t="str">
        <f t="shared" ca="1" si="244"/>
        <v>0</v>
      </c>
      <c r="FI52" s="701"/>
      <c r="FJ52" s="701">
        <f t="shared" ca="1" si="245"/>
        <v>43188</v>
      </c>
      <c r="FK52" s="697" t="str">
        <f t="shared" ca="1" si="246"/>
        <v>0</v>
      </c>
      <c r="FL52" s="701"/>
      <c r="FM52" s="701"/>
      <c r="FN52" s="701"/>
      <c r="FO52" s="701">
        <v>43811</v>
      </c>
      <c r="FP52" s="701">
        <f t="shared" si="247"/>
        <v>43556</v>
      </c>
      <c r="FQ52" s="699">
        <f t="shared" ca="1" si="248"/>
        <v>20.766666666666666</v>
      </c>
      <c r="FR52" s="701">
        <v>43840</v>
      </c>
      <c r="FS52" s="701">
        <f t="shared" si="249"/>
        <v>43586</v>
      </c>
      <c r="FT52" s="727">
        <v>0</v>
      </c>
      <c r="FU52" s="727">
        <v>0</v>
      </c>
      <c r="FV52" s="727"/>
      <c r="FW52" s="727"/>
      <c r="FX52" s="728">
        <f t="shared" ca="1" si="250"/>
        <v>23.433333333333334</v>
      </c>
      <c r="FY52" s="728">
        <f t="shared" si="251"/>
        <v>-8.4666666666666668</v>
      </c>
      <c r="FZ52" s="724"/>
      <c r="GA52" s="741"/>
      <c r="GB52" s="741" t="s">
        <v>899</v>
      </c>
      <c r="GC52" s="724" t="s">
        <v>860</v>
      </c>
      <c r="GD52" s="117"/>
      <c r="GE52" s="117"/>
      <c r="GF52" s="493">
        <f t="shared" si="273"/>
        <v>0</v>
      </c>
      <c r="GG52" s="493">
        <f t="shared" si="274"/>
        <v>0</v>
      </c>
      <c r="GH52" s="494"/>
      <c r="GI52" s="493"/>
      <c r="GJ52" s="493"/>
      <c r="GK52" s="493"/>
      <c r="GL52" s="493"/>
      <c r="GM52" s="494"/>
      <c r="GN52" s="209"/>
      <c r="GO52" s="111"/>
      <c r="GP52" s="790"/>
      <c r="GQ52" s="494"/>
      <c r="GR52" s="931"/>
      <c r="GS52" s="494">
        <f t="shared" si="275"/>
        <v>0</v>
      </c>
      <c r="GT52" s="494">
        <f t="shared" si="258"/>
        <v>0</v>
      </c>
      <c r="GU52" s="854"/>
      <c r="GV52" s="494"/>
      <c r="GW52" s="494"/>
      <c r="GX52" s="494"/>
      <c r="GY52" s="494"/>
      <c r="GZ52" s="890">
        <f t="shared" si="276"/>
        <v>0</v>
      </c>
      <c r="HA52" s="494"/>
      <c r="HB52" s="494"/>
      <c r="HC52" s="494"/>
      <c r="HD52" s="493"/>
      <c r="HE52" s="495" t="e">
        <f t="shared" si="260"/>
        <v>#DIV/0!</v>
      </c>
      <c r="HF52" s="493"/>
      <c r="HG52" s="494"/>
      <c r="HH52" s="494">
        <f t="shared" si="261"/>
        <v>0</v>
      </c>
      <c r="HI52" s="494">
        <f t="shared" si="262"/>
        <v>0</v>
      </c>
      <c r="HJ52" s="496">
        <f t="shared" si="263"/>
        <v>0</v>
      </c>
      <c r="HK52" s="494">
        <f t="shared" si="264"/>
        <v>0</v>
      </c>
      <c r="HL52" s="856"/>
      <c r="HM52" s="856"/>
      <c r="HN52" s="494"/>
      <c r="HO52" s="494"/>
      <c r="HP52" s="494">
        <f t="shared" si="265"/>
        <v>0</v>
      </c>
      <c r="HQ52" s="494"/>
      <c r="HR52" s="494">
        <f t="shared" si="277"/>
        <v>0</v>
      </c>
      <c r="HS52" s="111" t="e">
        <f t="shared" si="267"/>
        <v>#DIV/0!</v>
      </c>
      <c r="HT52" s="494"/>
      <c r="HU52" s="494"/>
      <c r="HV52" s="494">
        <f t="shared" si="192"/>
        <v>0</v>
      </c>
      <c r="HW52" s="498">
        <f t="shared" si="268"/>
        <v>0</v>
      </c>
      <c r="HX52" s="293"/>
      <c r="HY52" s="293">
        <f t="shared" si="269"/>
        <v>0</v>
      </c>
      <c r="HZ52" s="294"/>
      <c r="IA52" s="297">
        <v>0</v>
      </c>
      <c r="IB52" s="297"/>
      <c r="IC52" s="285"/>
      <c r="ID52" s="285"/>
      <c r="IE52" s="622">
        <v>0</v>
      </c>
      <c r="IF52" s="285"/>
      <c r="IG52" s="290">
        <v>0</v>
      </c>
      <c r="IH52" s="278"/>
      <c r="II52" s="625"/>
      <c r="IJ52" s="295"/>
      <c r="IK52" s="300"/>
      <c r="IL52" s="298"/>
      <c r="IM52" s="298"/>
      <c r="IN52" s="292"/>
      <c r="IO52" s="297"/>
      <c r="IP52" s="292"/>
      <c r="IQ52" s="297"/>
      <c r="IR52" s="323"/>
      <c r="IS52" s="323"/>
      <c r="IT52" s="323"/>
      <c r="IU52" s="323"/>
      <c r="IV52" s="286"/>
      <c r="IW52" s="286"/>
      <c r="IX52" s="286"/>
      <c r="IY52" s="286"/>
      <c r="IZ52" s="286"/>
      <c r="JA52" s="286"/>
      <c r="JB52" s="297" t="e">
        <f t="shared" si="278"/>
        <v>#VALUE!</v>
      </c>
      <c r="JC52" s="122"/>
      <c r="JD52" s="295"/>
      <c r="JE52" s="122"/>
      <c r="JF52" s="122"/>
      <c r="JG52" s="295"/>
    </row>
    <row r="53" spans="1:267" ht="24.95" customHeight="1">
      <c r="A53" s="315" t="s">
        <v>498</v>
      </c>
      <c r="B53" s="56" t="s">
        <v>499</v>
      </c>
      <c r="C53" s="56" t="s">
        <v>115</v>
      </c>
      <c r="D53" s="56">
        <v>2017</v>
      </c>
      <c r="E53" s="56"/>
      <c r="F53" s="56" t="s">
        <v>488</v>
      </c>
      <c r="G53" s="56" t="s">
        <v>292</v>
      </c>
      <c r="H53" s="56" t="s">
        <v>180</v>
      </c>
      <c r="I53" s="56"/>
      <c r="J53" s="56" t="s">
        <v>500</v>
      </c>
      <c r="K53" s="272" t="s">
        <v>556</v>
      </c>
      <c r="L53" s="176" t="s">
        <v>64</v>
      </c>
      <c r="M53" s="177" t="s">
        <v>527</v>
      </c>
      <c r="N53" s="178">
        <v>35569</v>
      </c>
      <c r="O53" s="243"/>
      <c r="P53" s="243"/>
      <c r="Q53" s="243"/>
      <c r="R53" s="243"/>
      <c r="S53" s="243"/>
      <c r="T53" s="819"/>
      <c r="U53" s="819"/>
      <c r="V53" s="819"/>
      <c r="W53" s="243"/>
      <c r="X53" s="218"/>
      <c r="Y53" s="226" t="e">
        <f t="shared" si="208"/>
        <v>#DIV/0!</v>
      </c>
      <c r="Z53" s="218"/>
      <c r="AA53" s="218"/>
      <c r="AB53" s="219"/>
      <c r="AC53" s="56" t="s">
        <v>487</v>
      </c>
      <c r="AD53" s="342">
        <f t="shared" si="209"/>
        <v>31</v>
      </c>
      <c r="AE53" s="67"/>
      <c r="AF53" s="119"/>
      <c r="AG53" s="119"/>
      <c r="AH53" s="203">
        <v>31</v>
      </c>
      <c r="AI53" s="60"/>
      <c r="AJ53" s="237"/>
      <c r="AK53" s="10"/>
      <c r="AL53" s="81"/>
      <c r="AM53" s="81"/>
      <c r="AN53" s="81"/>
      <c r="AO53" s="81"/>
      <c r="AP53" s="81"/>
      <c r="AQ53" s="60"/>
      <c r="AR53" s="79"/>
      <c r="AS53" s="81"/>
      <c r="AT53" s="60"/>
      <c r="AU53" s="56"/>
      <c r="AV53" s="56"/>
      <c r="AW53" s="56"/>
      <c r="AX53" s="56"/>
      <c r="AY53" s="114"/>
      <c r="AZ53" s="114"/>
      <c r="BA53" s="99"/>
      <c r="BB53" s="214">
        <v>43039</v>
      </c>
      <c r="BC53" s="101"/>
      <c r="BD53" s="101"/>
      <c r="BE53" s="214"/>
      <c r="BF53" s="101"/>
      <c r="BG53" s="169"/>
      <c r="BH53" s="212"/>
      <c r="BI53" s="170"/>
      <c r="BJ53" s="170"/>
      <c r="BK53" s="102"/>
      <c r="BL53" s="198">
        <f t="shared" si="210"/>
        <v>731</v>
      </c>
      <c r="BM53" s="198">
        <f t="shared" si="211"/>
        <v>1096</v>
      </c>
      <c r="BN53" s="198"/>
      <c r="BO53" s="169"/>
      <c r="BP53" s="173"/>
      <c r="BQ53" s="102"/>
      <c r="BR53" s="103"/>
      <c r="BS53" s="103"/>
      <c r="BT53" s="43"/>
      <c r="BU53" s="165"/>
      <c r="BV53" s="172"/>
      <c r="BW53" s="266"/>
      <c r="BX53" s="167"/>
      <c r="BY53" s="172"/>
      <c r="BZ53" s="266"/>
      <c r="CA53" s="266"/>
      <c r="CB53" s="517"/>
      <c r="CC53" s="781"/>
      <c r="CD53" s="615"/>
      <c r="CE53" s="452">
        <v>43191</v>
      </c>
      <c r="CF53" s="445"/>
      <c r="CG53" s="600">
        <f t="shared" si="213"/>
        <v>5.0666666666666664</v>
      </c>
      <c r="CH53" s="260">
        <v>12</v>
      </c>
      <c r="CI53" s="260">
        <f t="shared" si="214"/>
        <v>13</v>
      </c>
      <c r="CJ53" s="255">
        <f t="shared" si="215"/>
        <v>12</v>
      </c>
      <c r="CK53" s="255">
        <f t="shared" si="216"/>
        <v>13</v>
      </c>
      <c r="CL53" s="255">
        <f t="shared" si="217"/>
        <v>0</v>
      </c>
      <c r="CM53" s="255">
        <f t="shared" si="218"/>
        <v>0</v>
      </c>
      <c r="CN53" s="261"/>
      <c r="CO53" s="261">
        <f t="shared" si="219"/>
        <v>0</v>
      </c>
      <c r="CP53" s="256"/>
      <c r="CQ53" s="797">
        <f t="shared" si="220"/>
        <v>43556</v>
      </c>
      <c r="CR53" s="454">
        <f t="shared" si="221"/>
        <v>43556</v>
      </c>
      <c r="CS53" s="752">
        <f t="shared" si="222"/>
        <v>731</v>
      </c>
      <c r="CT53" s="256"/>
      <c r="CU53" s="883" t="e">
        <f t="shared" si="223"/>
        <v>#NUM!</v>
      </c>
      <c r="CV53" s="256"/>
      <c r="CW53" s="750">
        <f t="shared" si="224"/>
        <v>43586</v>
      </c>
      <c r="CX53" s="612">
        <f t="shared" si="270"/>
        <v>43586</v>
      </c>
      <c r="CY53" s="753"/>
      <c r="CZ53" s="122"/>
      <c r="DA53" s="125"/>
      <c r="DB53" s="125"/>
      <c r="DC53" s="125"/>
      <c r="DD53" s="125"/>
      <c r="DE53" s="125"/>
      <c r="DF53" s="56"/>
      <c r="DG53" s="296">
        <f t="shared" si="225"/>
        <v>43922</v>
      </c>
      <c r="DH53" s="56"/>
      <c r="DI53" s="56"/>
      <c r="DJ53" s="56"/>
      <c r="DK53" s="56"/>
      <c r="DL53" s="56"/>
      <c r="DM53" s="56"/>
      <c r="DN53" s="56"/>
      <c r="DO53" s="56"/>
      <c r="DP53" s="56"/>
      <c r="DQ53" s="56"/>
      <c r="DR53" s="56"/>
      <c r="DS53" s="56"/>
      <c r="DT53" s="340">
        <v>42632</v>
      </c>
      <c r="DU53" s="126"/>
      <c r="DV53" s="126"/>
      <c r="DW53" s="691" t="str">
        <f t="shared" si="226"/>
        <v>0</v>
      </c>
      <c r="DX53" s="126">
        <v>42914</v>
      </c>
      <c r="DY53" s="126">
        <v>42884</v>
      </c>
      <c r="DZ53" s="691">
        <f t="shared" si="227"/>
        <v>-30</v>
      </c>
      <c r="EA53" s="340">
        <v>42809</v>
      </c>
      <c r="EB53" s="340">
        <v>42893</v>
      </c>
      <c r="EC53" s="691">
        <f t="shared" si="228"/>
        <v>84</v>
      </c>
      <c r="ED53" s="126">
        <v>42972</v>
      </c>
      <c r="EE53" s="340">
        <v>42976</v>
      </c>
      <c r="EF53" s="691">
        <f t="shared" si="229"/>
        <v>4</v>
      </c>
      <c r="EG53" s="126">
        <v>42977</v>
      </c>
      <c r="EH53" s="126">
        <v>42976</v>
      </c>
      <c r="EI53" s="691">
        <f t="shared" si="230"/>
        <v>-1</v>
      </c>
      <c r="EJ53" s="718"/>
      <c r="EK53" s="706">
        <v>43077</v>
      </c>
      <c r="EL53" s="701">
        <f t="shared" ca="1" si="271"/>
        <v>43188</v>
      </c>
      <c r="EM53" s="697">
        <f t="shared" ca="1" si="231"/>
        <v>111</v>
      </c>
      <c r="EN53" s="706">
        <v>43090</v>
      </c>
      <c r="EO53" s="701">
        <f t="shared" ca="1" si="272"/>
        <v>43188</v>
      </c>
      <c r="EP53" s="697">
        <f t="shared" ca="1" si="232"/>
        <v>98</v>
      </c>
      <c r="EQ53" s="695"/>
      <c r="ER53" s="701">
        <f t="shared" ca="1" si="233"/>
        <v>43188</v>
      </c>
      <c r="ES53" s="697" t="str">
        <f t="shared" ca="1" si="234"/>
        <v>0</v>
      </c>
      <c r="ET53" s="695"/>
      <c r="EU53" s="722">
        <f t="shared" ca="1" si="235"/>
        <v>43188</v>
      </c>
      <c r="EV53" s="698" t="str">
        <f t="shared" ca="1" si="236"/>
        <v>0</v>
      </c>
      <c r="EW53" s="701"/>
      <c r="EX53" s="722">
        <f t="shared" ca="1" si="237"/>
        <v>43188</v>
      </c>
      <c r="EY53" s="697" t="str">
        <f t="shared" ca="1" si="238"/>
        <v>0</v>
      </c>
      <c r="EZ53" s="695"/>
      <c r="FA53" s="701">
        <f t="shared" ca="1" si="239"/>
        <v>43188</v>
      </c>
      <c r="FB53" s="697" t="str">
        <f t="shared" ca="1" si="240"/>
        <v>0</v>
      </c>
      <c r="FC53" s="701"/>
      <c r="FD53" s="701">
        <f t="shared" ca="1" si="241"/>
        <v>43188</v>
      </c>
      <c r="FE53" s="697" t="str">
        <f t="shared" ca="1" si="242"/>
        <v>0</v>
      </c>
      <c r="FF53" s="701"/>
      <c r="FG53" s="701">
        <f t="shared" ca="1" si="243"/>
        <v>43188</v>
      </c>
      <c r="FH53" s="697" t="str">
        <f t="shared" ca="1" si="244"/>
        <v>0</v>
      </c>
      <c r="FI53" s="701"/>
      <c r="FJ53" s="701">
        <f t="shared" ca="1" si="245"/>
        <v>43188</v>
      </c>
      <c r="FK53" s="697" t="str">
        <f t="shared" ca="1" si="246"/>
        <v>0</v>
      </c>
      <c r="FL53" s="701"/>
      <c r="FM53" s="701"/>
      <c r="FN53" s="701"/>
      <c r="FO53" s="701">
        <v>43819</v>
      </c>
      <c r="FP53" s="701">
        <f t="shared" si="247"/>
        <v>43556</v>
      </c>
      <c r="FQ53" s="699">
        <f t="shared" ca="1" si="248"/>
        <v>21.033333333333335</v>
      </c>
      <c r="FR53" s="701">
        <v>43850</v>
      </c>
      <c r="FS53" s="701">
        <f t="shared" si="249"/>
        <v>43586</v>
      </c>
      <c r="FT53" s="727">
        <v>0</v>
      </c>
      <c r="FU53" s="727">
        <v>0</v>
      </c>
      <c r="FV53" s="727"/>
      <c r="FW53" s="727"/>
      <c r="FX53" s="728">
        <f t="shared" ca="1" si="250"/>
        <v>8.8666666666666671</v>
      </c>
      <c r="FY53" s="728">
        <f t="shared" si="251"/>
        <v>-8.8000000000000007</v>
      </c>
      <c r="FZ53" s="724"/>
      <c r="GA53" s="741"/>
      <c r="GB53" s="741" t="s">
        <v>897</v>
      </c>
      <c r="GC53" s="724"/>
      <c r="GD53" s="117"/>
      <c r="GE53" s="117"/>
      <c r="GF53" s="95">
        <f t="shared" si="273"/>
        <v>0</v>
      </c>
      <c r="GG53" s="493">
        <f t="shared" si="274"/>
        <v>0</v>
      </c>
      <c r="GH53" s="11"/>
      <c r="GI53" s="493"/>
      <c r="GJ53" s="493"/>
      <c r="GK53" s="95"/>
      <c r="GL53" s="95"/>
      <c r="GM53" s="11"/>
      <c r="GN53" s="11"/>
      <c r="GO53" s="326"/>
      <c r="GP53" s="95"/>
      <c r="GQ53" s="494"/>
      <c r="GR53" s="931"/>
      <c r="GS53" s="11">
        <f t="shared" si="275"/>
        <v>0</v>
      </c>
      <c r="GT53" s="11">
        <f t="shared" si="258"/>
        <v>0</v>
      </c>
      <c r="GU53" s="586"/>
      <c r="GV53" s="494"/>
      <c r="GW53" s="493"/>
      <c r="GX53" s="494"/>
      <c r="GY53" s="494"/>
      <c r="GZ53" s="891">
        <f t="shared" si="276"/>
        <v>0</v>
      </c>
      <c r="HA53" s="493"/>
      <c r="HB53" s="493"/>
      <c r="HC53" s="494"/>
      <c r="HD53" s="493"/>
      <c r="HE53" s="495" t="e">
        <f t="shared" si="260"/>
        <v>#DIV/0!</v>
      </c>
      <c r="HF53" s="493"/>
      <c r="HG53" s="493"/>
      <c r="HH53" s="494">
        <f t="shared" si="261"/>
        <v>0</v>
      </c>
      <c r="HI53" s="494">
        <f t="shared" si="262"/>
        <v>0</v>
      </c>
      <c r="HJ53" s="496">
        <f t="shared" si="263"/>
        <v>0</v>
      </c>
      <c r="HK53" s="494">
        <f t="shared" si="264"/>
        <v>0</v>
      </c>
      <c r="HL53" s="856"/>
      <c r="HM53" s="856"/>
      <c r="HN53" s="494"/>
      <c r="HO53" s="494"/>
      <c r="HP53" s="494">
        <f t="shared" si="265"/>
        <v>0</v>
      </c>
      <c r="HQ53" s="494"/>
      <c r="HR53" s="494">
        <f t="shared" si="277"/>
        <v>0</v>
      </c>
      <c r="HS53" s="111" t="e">
        <f t="shared" si="267"/>
        <v>#DIV/0!</v>
      </c>
      <c r="HT53" s="494"/>
      <c r="HU53" s="494"/>
      <c r="HV53" s="494">
        <f t="shared" si="192"/>
        <v>0</v>
      </c>
      <c r="HW53" s="498">
        <f t="shared" si="268"/>
        <v>0</v>
      </c>
      <c r="HX53" s="293"/>
      <c r="HY53" s="293">
        <f t="shared" si="269"/>
        <v>0</v>
      </c>
      <c r="HZ53" s="294"/>
      <c r="IA53" s="297">
        <v>0</v>
      </c>
      <c r="IB53" s="297"/>
      <c r="IC53" s="285"/>
      <c r="ID53" s="285"/>
      <c r="IE53" s="622">
        <v>0</v>
      </c>
      <c r="IF53" s="285"/>
      <c r="IG53" s="290">
        <v>0</v>
      </c>
      <c r="IH53" s="285"/>
      <c r="II53" s="625"/>
      <c r="IJ53" s="295"/>
      <c r="IK53" s="300"/>
      <c r="IL53" s="298"/>
      <c r="IM53" s="298"/>
      <c r="IN53" s="292"/>
      <c r="IO53" s="297"/>
      <c r="IP53" s="292"/>
      <c r="IQ53" s="297"/>
      <c r="IR53" s="323"/>
      <c r="IS53" s="323"/>
      <c r="IT53" s="323"/>
      <c r="IU53" s="323"/>
      <c r="IV53" s="286"/>
      <c r="IW53" s="286"/>
      <c r="IX53" s="286"/>
      <c r="IY53" s="286"/>
      <c r="IZ53" s="286"/>
      <c r="JA53" s="286"/>
      <c r="JB53" s="297" t="e">
        <f t="shared" si="278"/>
        <v>#VALUE!</v>
      </c>
      <c r="JC53" s="122"/>
      <c r="JD53" s="295"/>
      <c r="JE53" s="122"/>
      <c r="JF53" s="122"/>
      <c r="JG53" s="295"/>
    </row>
    <row r="54" spans="1:267" ht="24.95" customHeight="1">
      <c r="A54" s="315" t="s">
        <v>496</v>
      </c>
      <c r="B54" s="56" t="s">
        <v>35</v>
      </c>
      <c r="C54" s="56" t="s">
        <v>113</v>
      </c>
      <c r="D54" s="56">
        <v>2017</v>
      </c>
      <c r="E54" s="56"/>
      <c r="F54" s="56" t="s">
        <v>488</v>
      </c>
      <c r="G54" s="56" t="s">
        <v>184</v>
      </c>
      <c r="H54" s="56" t="s">
        <v>180</v>
      </c>
      <c r="I54" s="56"/>
      <c r="J54" s="56" t="s">
        <v>497</v>
      </c>
      <c r="K54" s="272" t="s">
        <v>520</v>
      </c>
      <c r="L54" s="176" t="s">
        <v>64</v>
      </c>
      <c r="M54" s="177" t="s">
        <v>526</v>
      </c>
      <c r="N54" s="178">
        <v>34008</v>
      </c>
      <c r="O54" s="243"/>
      <c r="P54" s="243"/>
      <c r="Q54" s="243"/>
      <c r="R54" s="243"/>
      <c r="S54" s="243"/>
      <c r="T54" s="819"/>
      <c r="U54" s="819"/>
      <c r="V54" s="819"/>
      <c r="W54" s="243"/>
      <c r="X54" s="218"/>
      <c r="Y54" s="226" t="e">
        <f t="shared" si="208"/>
        <v>#DIV/0!</v>
      </c>
      <c r="Z54" s="218"/>
      <c r="AA54" s="218"/>
      <c r="AB54" s="219"/>
      <c r="AC54" s="56" t="s">
        <v>487</v>
      </c>
      <c r="AD54" s="342">
        <f t="shared" si="209"/>
        <v>45</v>
      </c>
      <c r="AE54" s="67"/>
      <c r="AF54" s="119"/>
      <c r="AG54" s="119"/>
      <c r="AH54" s="203">
        <v>45</v>
      </c>
      <c r="AI54" s="60"/>
      <c r="AJ54" s="237"/>
      <c r="AK54" s="10"/>
      <c r="AL54" s="81"/>
      <c r="AM54" s="81"/>
      <c r="AN54" s="81"/>
      <c r="AO54" s="81"/>
      <c r="AP54" s="81"/>
      <c r="AQ54" s="60"/>
      <c r="AR54" s="79"/>
      <c r="AS54" s="81"/>
      <c r="AT54" s="60"/>
      <c r="AU54" s="56"/>
      <c r="AV54" s="56"/>
      <c r="AW54" s="56"/>
      <c r="AX54" s="56"/>
      <c r="AY54" s="114"/>
      <c r="AZ54" s="114"/>
      <c r="BA54" s="99"/>
      <c r="BB54" s="214">
        <v>43032</v>
      </c>
      <c r="BC54" s="101"/>
      <c r="BD54" s="101"/>
      <c r="BE54" s="214"/>
      <c r="BF54" s="101"/>
      <c r="BG54" s="169"/>
      <c r="BH54" s="212"/>
      <c r="BI54" s="170"/>
      <c r="BJ54" s="170"/>
      <c r="BK54" s="102"/>
      <c r="BL54" s="198">
        <f t="shared" si="210"/>
        <v>731</v>
      </c>
      <c r="BM54" s="198">
        <f t="shared" si="211"/>
        <v>1096</v>
      </c>
      <c r="BN54" s="198"/>
      <c r="BO54" s="169"/>
      <c r="BP54" s="175"/>
      <c r="BQ54" s="102"/>
      <c r="BR54" s="103"/>
      <c r="BS54" s="103"/>
      <c r="BT54" s="103"/>
      <c r="BU54" s="168"/>
      <c r="BV54" s="172"/>
      <c r="BW54" s="266"/>
      <c r="BX54" s="167"/>
      <c r="BY54" s="172"/>
      <c r="BZ54" s="266"/>
      <c r="CA54" s="266"/>
      <c r="CB54" s="517"/>
      <c r="CC54" s="781"/>
      <c r="CD54" s="615"/>
      <c r="CE54" s="452">
        <v>43191</v>
      </c>
      <c r="CF54" s="445"/>
      <c r="CG54" s="600">
        <f t="shared" si="213"/>
        <v>5.3</v>
      </c>
      <c r="CH54" s="260">
        <v>12</v>
      </c>
      <c r="CI54" s="260">
        <f t="shared" si="214"/>
        <v>13</v>
      </c>
      <c r="CJ54" s="255">
        <f t="shared" si="215"/>
        <v>12</v>
      </c>
      <c r="CK54" s="255">
        <f t="shared" si="216"/>
        <v>13</v>
      </c>
      <c r="CL54" s="255">
        <f t="shared" si="217"/>
        <v>0</v>
      </c>
      <c r="CM54" s="255">
        <f t="shared" si="218"/>
        <v>0</v>
      </c>
      <c r="CN54" s="261"/>
      <c r="CO54" s="261">
        <f t="shared" si="219"/>
        <v>0</v>
      </c>
      <c r="CP54" s="256"/>
      <c r="CQ54" s="797">
        <f t="shared" si="220"/>
        <v>43556</v>
      </c>
      <c r="CR54" s="454">
        <f t="shared" si="221"/>
        <v>43556</v>
      </c>
      <c r="CS54" s="752">
        <f t="shared" si="222"/>
        <v>731</v>
      </c>
      <c r="CT54" s="256"/>
      <c r="CU54" s="883" t="e">
        <f t="shared" si="223"/>
        <v>#NUM!</v>
      </c>
      <c r="CV54" s="256"/>
      <c r="CW54" s="750">
        <f t="shared" si="224"/>
        <v>43586</v>
      </c>
      <c r="CX54" s="612">
        <f t="shared" si="270"/>
        <v>43586</v>
      </c>
      <c r="CY54" s="753"/>
      <c r="CZ54" s="122"/>
      <c r="DA54" s="125"/>
      <c r="DB54" s="125"/>
      <c r="DC54" s="125"/>
      <c r="DD54" s="125"/>
      <c r="DE54" s="125"/>
      <c r="DF54" s="56"/>
      <c r="DG54" s="296">
        <f t="shared" si="225"/>
        <v>43922</v>
      </c>
      <c r="DH54" s="56"/>
      <c r="DI54" s="56"/>
      <c r="DJ54" s="56"/>
      <c r="DK54" s="56"/>
      <c r="DL54" s="56"/>
      <c r="DM54" s="56"/>
      <c r="DN54" s="56"/>
      <c r="DO54" s="56"/>
      <c r="DP54" s="56"/>
      <c r="DQ54" s="56"/>
      <c r="DR54" s="56"/>
      <c r="DS54" s="56"/>
      <c r="DT54" s="340">
        <v>42649</v>
      </c>
      <c r="DU54" s="126"/>
      <c r="DV54" s="126"/>
      <c r="DW54" s="691" t="str">
        <f t="shared" si="226"/>
        <v>0</v>
      </c>
      <c r="DX54" s="126">
        <v>42872</v>
      </c>
      <c r="DY54" s="126">
        <v>42880</v>
      </c>
      <c r="DZ54" s="691">
        <f t="shared" si="227"/>
        <v>8</v>
      </c>
      <c r="EA54" s="340">
        <v>42814</v>
      </c>
      <c r="EB54" s="340">
        <v>42853</v>
      </c>
      <c r="EC54" s="691">
        <f t="shared" si="228"/>
        <v>39</v>
      </c>
      <c r="ED54" s="713">
        <v>42877</v>
      </c>
      <c r="EE54" s="710">
        <f ca="1">IF(ED54&lt;TODAY(),TODAY(),ED54)</f>
        <v>43188</v>
      </c>
      <c r="EF54" s="715">
        <f t="shared" ca="1" si="229"/>
        <v>311</v>
      </c>
      <c r="EG54" s="713">
        <v>42962</v>
      </c>
      <c r="EH54" s="713">
        <f ca="1">IF(EG54&lt;TODAY(),TODAY(),EG54)</f>
        <v>43188</v>
      </c>
      <c r="EI54" s="715">
        <f t="shared" ca="1" si="230"/>
        <v>226</v>
      </c>
      <c r="EJ54" s="718"/>
      <c r="EK54" s="706">
        <v>43074</v>
      </c>
      <c r="EL54" s="701">
        <f t="shared" ca="1" si="271"/>
        <v>43188</v>
      </c>
      <c r="EM54" s="697">
        <f t="shared" ca="1" si="231"/>
        <v>114</v>
      </c>
      <c r="EN54" s="706">
        <v>43081</v>
      </c>
      <c r="EO54" s="701">
        <f t="shared" ca="1" si="272"/>
        <v>43188</v>
      </c>
      <c r="EP54" s="697">
        <f t="shared" ca="1" si="232"/>
        <v>107</v>
      </c>
      <c r="EQ54" s="695"/>
      <c r="ER54" s="701">
        <f t="shared" ca="1" si="233"/>
        <v>43188</v>
      </c>
      <c r="ES54" s="697" t="str">
        <f t="shared" ca="1" si="234"/>
        <v>0</v>
      </c>
      <c r="ET54" s="695"/>
      <c r="EU54" s="722">
        <f t="shared" ca="1" si="235"/>
        <v>43188</v>
      </c>
      <c r="EV54" s="698" t="str">
        <f t="shared" ca="1" si="236"/>
        <v>0</v>
      </c>
      <c r="EW54" s="701"/>
      <c r="EX54" s="722">
        <f t="shared" ca="1" si="237"/>
        <v>43188</v>
      </c>
      <c r="EY54" s="697" t="str">
        <f t="shared" ca="1" si="238"/>
        <v>0</v>
      </c>
      <c r="EZ54" s="701"/>
      <c r="FA54" s="701">
        <f t="shared" ca="1" si="239"/>
        <v>43188</v>
      </c>
      <c r="FB54" s="697" t="str">
        <f t="shared" ca="1" si="240"/>
        <v>0</v>
      </c>
      <c r="FC54" s="701"/>
      <c r="FD54" s="701">
        <f t="shared" ca="1" si="241"/>
        <v>43188</v>
      </c>
      <c r="FE54" s="697" t="str">
        <f t="shared" ca="1" si="242"/>
        <v>0</v>
      </c>
      <c r="FF54" s="701"/>
      <c r="FG54" s="701">
        <f t="shared" ca="1" si="243"/>
        <v>43188</v>
      </c>
      <c r="FH54" s="697" t="str">
        <f t="shared" ca="1" si="244"/>
        <v>0</v>
      </c>
      <c r="FI54" s="701"/>
      <c r="FJ54" s="701">
        <f t="shared" ca="1" si="245"/>
        <v>43188</v>
      </c>
      <c r="FK54" s="697" t="str">
        <f t="shared" ca="1" si="246"/>
        <v>0</v>
      </c>
      <c r="FL54" s="701"/>
      <c r="FM54" s="701"/>
      <c r="FN54" s="701"/>
      <c r="FO54" s="701">
        <v>43811</v>
      </c>
      <c r="FP54" s="701">
        <f t="shared" si="247"/>
        <v>43556</v>
      </c>
      <c r="FQ54" s="699">
        <f t="shared" ca="1" si="248"/>
        <v>20.766666666666666</v>
      </c>
      <c r="FR54" s="701">
        <v>43840</v>
      </c>
      <c r="FS54" s="701">
        <f t="shared" si="249"/>
        <v>43586</v>
      </c>
      <c r="FT54" s="727">
        <v>0</v>
      </c>
      <c r="FU54" s="727">
        <v>0</v>
      </c>
      <c r="FV54" s="727"/>
      <c r="FW54" s="727"/>
      <c r="FX54" s="728">
        <f t="shared" ca="1" si="250"/>
        <v>26.833333333333332</v>
      </c>
      <c r="FY54" s="728">
        <f t="shared" si="251"/>
        <v>-8.4666666666666668</v>
      </c>
      <c r="FZ54" s="724"/>
      <c r="GA54" s="741"/>
      <c r="GB54" s="741" t="s">
        <v>896</v>
      </c>
      <c r="GC54" s="724"/>
      <c r="GD54" s="117"/>
      <c r="GE54" s="117"/>
      <c r="GF54" s="493">
        <f t="shared" si="273"/>
        <v>0</v>
      </c>
      <c r="GG54" s="493">
        <f t="shared" si="274"/>
        <v>0</v>
      </c>
      <c r="GH54" s="494"/>
      <c r="GI54" s="493"/>
      <c r="GJ54" s="493"/>
      <c r="GK54" s="493"/>
      <c r="GL54" s="493"/>
      <c r="GM54" s="494"/>
      <c r="GN54" s="209"/>
      <c r="GO54" s="111"/>
      <c r="GP54" s="790"/>
      <c r="GQ54" s="494"/>
      <c r="GR54" s="931"/>
      <c r="GS54" s="494">
        <f t="shared" si="275"/>
        <v>0</v>
      </c>
      <c r="GT54" s="494">
        <f t="shared" si="258"/>
        <v>0</v>
      </c>
      <c r="GU54" s="854"/>
      <c r="GV54" s="494"/>
      <c r="GW54" s="493"/>
      <c r="GX54" s="494"/>
      <c r="GY54" s="494"/>
      <c r="GZ54" s="890">
        <f t="shared" si="276"/>
        <v>0</v>
      </c>
      <c r="HA54" s="493"/>
      <c r="HB54" s="493"/>
      <c r="HC54" s="494"/>
      <c r="HD54" s="493"/>
      <c r="HE54" s="495" t="e">
        <f t="shared" si="260"/>
        <v>#DIV/0!</v>
      </c>
      <c r="HF54" s="493"/>
      <c r="HG54" s="493"/>
      <c r="HH54" s="494">
        <f t="shared" si="261"/>
        <v>0</v>
      </c>
      <c r="HI54" s="494">
        <f t="shared" si="262"/>
        <v>0</v>
      </c>
      <c r="HJ54" s="496">
        <f t="shared" si="263"/>
        <v>0</v>
      </c>
      <c r="HK54" s="494">
        <f t="shared" si="264"/>
        <v>0</v>
      </c>
      <c r="HL54" s="856"/>
      <c r="HM54" s="856"/>
      <c r="HN54" s="494"/>
      <c r="HO54" s="494"/>
      <c r="HP54" s="494">
        <f t="shared" si="265"/>
        <v>0</v>
      </c>
      <c r="HQ54" s="494"/>
      <c r="HR54" s="494">
        <f t="shared" si="277"/>
        <v>0</v>
      </c>
      <c r="HS54" s="111" t="e">
        <f t="shared" si="267"/>
        <v>#DIV/0!</v>
      </c>
      <c r="HT54" s="494"/>
      <c r="HU54" s="494"/>
      <c r="HV54" s="494">
        <f t="shared" si="192"/>
        <v>0</v>
      </c>
      <c r="HW54" s="498">
        <f t="shared" si="268"/>
        <v>0</v>
      </c>
      <c r="HX54" s="293"/>
      <c r="HY54" s="293">
        <f t="shared" si="269"/>
        <v>0</v>
      </c>
      <c r="HZ54" s="294"/>
      <c r="IA54" s="297">
        <v>0</v>
      </c>
      <c r="IB54" s="297"/>
      <c r="IC54" s="285"/>
      <c r="ID54" s="285"/>
      <c r="IE54" s="622">
        <v>0</v>
      </c>
      <c r="IF54" s="285"/>
      <c r="IG54" s="290">
        <v>0</v>
      </c>
      <c r="IH54" s="285"/>
      <c r="II54" s="625"/>
      <c r="IJ54" s="295"/>
      <c r="IK54" s="300"/>
      <c r="IL54" s="298"/>
      <c r="IM54" s="298"/>
      <c r="IN54" s="292"/>
      <c r="IO54" s="293"/>
      <c r="IP54" s="292"/>
      <c r="IQ54" s="293"/>
      <c r="IR54" s="323"/>
      <c r="IS54" s="323"/>
      <c r="IT54" s="323"/>
      <c r="IU54" s="323"/>
      <c r="IV54" s="286"/>
      <c r="IW54" s="286"/>
      <c r="IX54" s="286"/>
      <c r="IY54" s="286"/>
      <c r="IZ54" s="286"/>
      <c r="JA54" s="286"/>
      <c r="JB54" s="297" t="e">
        <f t="shared" si="278"/>
        <v>#VALUE!</v>
      </c>
      <c r="JC54" s="122"/>
      <c r="JD54" s="295"/>
      <c r="JE54" s="122"/>
      <c r="JF54" s="122"/>
      <c r="JG54" s="295"/>
    </row>
    <row r="55" spans="1:267" ht="24.95" customHeight="1">
      <c r="A55" s="315" t="s">
        <v>494</v>
      </c>
      <c r="B55" s="56" t="s">
        <v>35</v>
      </c>
      <c r="C55" s="56" t="s">
        <v>113</v>
      </c>
      <c r="D55" s="56">
        <v>2017</v>
      </c>
      <c r="E55" s="56"/>
      <c r="F55" s="56" t="s">
        <v>488</v>
      </c>
      <c r="G55" s="56" t="s">
        <v>766</v>
      </c>
      <c r="H55" s="56" t="s">
        <v>179</v>
      </c>
      <c r="I55" s="56"/>
      <c r="J55" s="56" t="s">
        <v>495</v>
      </c>
      <c r="K55" s="272" t="s">
        <v>555</v>
      </c>
      <c r="L55" s="176"/>
      <c r="M55" s="177"/>
      <c r="N55" s="178"/>
      <c r="O55" s="243"/>
      <c r="P55" s="243"/>
      <c r="Q55" s="243"/>
      <c r="R55" s="243"/>
      <c r="S55" s="243"/>
      <c r="T55" s="819"/>
      <c r="U55" s="819"/>
      <c r="V55" s="819"/>
      <c r="W55" s="243"/>
      <c r="X55" s="218"/>
      <c r="Y55" s="226" t="e">
        <f t="shared" si="208"/>
        <v>#DIV/0!</v>
      </c>
      <c r="Z55" s="218"/>
      <c r="AA55" s="218"/>
      <c r="AB55" s="219"/>
      <c r="AC55" s="56" t="s">
        <v>487</v>
      </c>
      <c r="AD55" s="342">
        <f t="shared" si="209"/>
        <v>74</v>
      </c>
      <c r="AE55" s="67"/>
      <c r="AF55" s="119"/>
      <c r="AG55" s="119"/>
      <c r="AH55" s="203">
        <v>74</v>
      </c>
      <c r="AI55" s="60"/>
      <c r="AJ55" s="237"/>
      <c r="AK55" s="10"/>
      <c r="AL55" s="81"/>
      <c r="AM55" s="81"/>
      <c r="AN55" s="81"/>
      <c r="AO55" s="81"/>
      <c r="AP55" s="81"/>
      <c r="AQ55" s="60"/>
      <c r="AR55" s="79"/>
      <c r="AS55" s="81"/>
      <c r="AT55" s="60"/>
      <c r="AU55" s="56"/>
      <c r="AV55" s="56"/>
      <c r="AW55" s="56"/>
      <c r="AX55" s="56"/>
      <c r="AY55" s="114"/>
      <c r="AZ55" s="114"/>
      <c r="BA55" s="99"/>
      <c r="BB55" s="214">
        <v>43039</v>
      </c>
      <c r="BC55" s="101"/>
      <c r="BD55" s="101"/>
      <c r="BE55" s="214"/>
      <c r="BF55" s="101"/>
      <c r="BG55" s="169"/>
      <c r="BH55" s="212"/>
      <c r="BI55" s="170"/>
      <c r="BJ55" s="170"/>
      <c r="BK55" s="102"/>
      <c r="BL55" s="198">
        <f t="shared" si="210"/>
        <v>731</v>
      </c>
      <c r="BM55" s="198">
        <f t="shared" si="211"/>
        <v>1096</v>
      </c>
      <c r="BN55" s="198"/>
      <c r="BO55" s="169"/>
      <c r="BP55" s="175"/>
      <c r="BQ55" s="102"/>
      <c r="BR55" s="103"/>
      <c r="BS55" s="103"/>
      <c r="BT55" s="103"/>
      <c r="BU55" s="165"/>
      <c r="BV55" s="172"/>
      <c r="BW55" s="266"/>
      <c r="BX55" s="167"/>
      <c r="BY55" s="172"/>
      <c r="BZ55" s="266"/>
      <c r="CA55" s="266"/>
      <c r="CB55" s="517"/>
      <c r="CC55" s="781"/>
      <c r="CD55" s="615"/>
      <c r="CE55" s="452">
        <v>43191</v>
      </c>
      <c r="CF55" s="445"/>
      <c r="CG55" s="600">
        <f t="shared" si="213"/>
        <v>5.0666666666666664</v>
      </c>
      <c r="CH55" s="260">
        <v>12</v>
      </c>
      <c r="CI55" s="260">
        <f t="shared" si="214"/>
        <v>13</v>
      </c>
      <c r="CJ55" s="255">
        <f t="shared" si="215"/>
        <v>12</v>
      </c>
      <c r="CK55" s="255">
        <f t="shared" si="216"/>
        <v>13</v>
      </c>
      <c r="CL55" s="255">
        <f t="shared" si="217"/>
        <v>0</v>
      </c>
      <c r="CM55" s="255">
        <f t="shared" si="218"/>
        <v>0</v>
      </c>
      <c r="CN55" s="261"/>
      <c r="CO55" s="261">
        <f t="shared" si="219"/>
        <v>0</v>
      </c>
      <c r="CP55" s="256"/>
      <c r="CQ55" s="797">
        <f t="shared" si="220"/>
        <v>43556</v>
      </c>
      <c r="CR55" s="454">
        <f t="shared" si="221"/>
        <v>43556</v>
      </c>
      <c r="CS55" s="752">
        <f t="shared" si="222"/>
        <v>731</v>
      </c>
      <c r="CT55" s="256"/>
      <c r="CU55" s="883" t="e">
        <f t="shared" si="223"/>
        <v>#NUM!</v>
      </c>
      <c r="CV55" s="256"/>
      <c r="CW55" s="750">
        <f t="shared" si="224"/>
        <v>43586</v>
      </c>
      <c r="CX55" s="612">
        <f t="shared" si="270"/>
        <v>43586</v>
      </c>
      <c r="CY55" s="753"/>
      <c r="CZ55" s="122"/>
      <c r="DA55" s="125"/>
      <c r="DB55" s="125"/>
      <c r="DC55" s="125"/>
      <c r="DD55" s="125"/>
      <c r="DE55" s="125"/>
      <c r="DF55" s="56"/>
      <c r="DG55" s="296">
        <f t="shared" si="225"/>
        <v>43922</v>
      </c>
      <c r="DH55" s="56"/>
      <c r="DI55" s="56"/>
      <c r="DJ55" s="56"/>
      <c r="DK55" s="56"/>
      <c r="DL55" s="56"/>
      <c r="DM55" s="56"/>
      <c r="DN55" s="56"/>
      <c r="DO55" s="56"/>
      <c r="DP55" s="56"/>
      <c r="DQ55" s="56"/>
      <c r="DR55" s="56"/>
      <c r="DS55" s="56"/>
      <c r="DT55" s="340">
        <v>42632</v>
      </c>
      <c r="DU55" s="126"/>
      <c r="DV55" s="126"/>
      <c r="DW55" s="691" t="str">
        <f t="shared" si="226"/>
        <v>0</v>
      </c>
      <c r="DX55" s="126">
        <v>42870</v>
      </c>
      <c r="DY55" s="126">
        <v>42879</v>
      </c>
      <c r="DZ55" s="691">
        <f t="shared" si="227"/>
        <v>9</v>
      </c>
      <c r="EA55" s="340">
        <v>42814</v>
      </c>
      <c r="EB55" s="340">
        <v>42851</v>
      </c>
      <c r="EC55" s="691">
        <f t="shared" si="228"/>
        <v>37</v>
      </c>
      <c r="ED55" s="126">
        <v>42874</v>
      </c>
      <c r="EE55" s="126">
        <v>42935</v>
      </c>
      <c r="EF55" s="691">
        <f t="shared" si="229"/>
        <v>61</v>
      </c>
      <c r="EG55" s="126">
        <v>42936</v>
      </c>
      <c r="EH55" s="126">
        <v>42935</v>
      </c>
      <c r="EI55" s="691">
        <f t="shared" si="230"/>
        <v>-1</v>
      </c>
      <c r="EJ55" s="718"/>
      <c r="EK55" s="706">
        <v>43074</v>
      </c>
      <c r="EL55" s="701">
        <f t="shared" ca="1" si="271"/>
        <v>43188</v>
      </c>
      <c r="EM55" s="697">
        <f t="shared" ca="1" si="231"/>
        <v>114</v>
      </c>
      <c r="EN55" s="706">
        <v>43081</v>
      </c>
      <c r="EO55" s="701">
        <f t="shared" ca="1" si="272"/>
        <v>43188</v>
      </c>
      <c r="EP55" s="697">
        <f t="shared" ca="1" si="232"/>
        <v>107</v>
      </c>
      <c r="EQ55" s="695"/>
      <c r="ER55" s="701">
        <f t="shared" ca="1" si="233"/>
        <v>43188</v>
      </c>
      <c r="ES55" s="697" t="str">
        <f t="shared" ca="1" si="234"/>
        <v>0</v>
      </c>
      <c r="ET55" s="695"/>
      <c r="EU55" s="722">
        <f t="shared" ca="1" si="235"/>
        <v>43188</v>
      </c>
      <c r="EV55" s="698" t="str">
        <f t="shared" ca="1" si="236"/>
        <v>0</v>
      </c>
      <c r="EW55" s="701"/>
      <c r="EX55" s="722">
        <f t="shared" ca="1" si="237"/>
        <v>43188</v>
      </c>
      <c r="EY55" s="697" t="str">
        <f t="shared" ca="1" si="238"/>
        <v>0</v>
      </c>
      <c r="EZ55" s="701"/>
      <c r="FA55" s="701">
        <f t="shared" ca="1" si="239"/>
        <v>43188</v>
      </c>
      <c r="FB55" s="697" t="str">
        <f t="shared" ca="1" si="240"/>
        <v>0</v>
      </c>
      <c r="FC55" s="701"/>
      <c r="FD55" s="701">
        <f t="shared" ca="1" si="241"/>
        <v>43188</v>
      </c>
      <c r="FE55" s="697" t="str">
        <f t="shared" ca="1" si="242"/>
        <v>0</v>
      </c>
      <c r="FF55" s="701"/>
      <c r="FG55" s="701">
        <f t="shared" ca="1" si="243"/>
        <v>43188</v>
      </c>
      <c r="FH55" s="697" t="str">
        <f t="shared" ca="1" si="244"/>
        <v>0</v>
      </c>
      <c r="FI55" s="701"/>
      <c r="FJ55" s="701">
        <f t="shared" ca="1" si="245"/>
        <v>43188</v>
      </c>
      <c r="FK55" s="697" t="str">
        <f t="shared" ca="1" si="246"/>
        <v>0</v>
      </c>
      <c r="FL55" s="701"/>
      <c r="FM55" s="701"/>
      <c r="FN55" s="701"/>
      <c r="FO55" s="701">
        <v>43811</v>
      </c>
      <c r="FP55" s="701">
        <f t="shared" si="247"/>
        <v>43556</v>
      </c>
      <c r="FQ55" s="699">
        <f t="shared" ca="1" si="248"/>
        <v>20.766666666666666</v>
      </c>
      <c r="FR55" s="701">
        <v>43840</v>
      </c>
      <c r="FS55" s="701">
        <f t="shared" si="249"/>
        <v>43586</v>
      </c>
      <c r="FT55" s="727">
        <v>0</v>
      </c>
      <c r="FU55" s="727">
        <v>0</v>
      </c>
      <c r="FV55" s="727"/>
      <c r="FW55" s="727"/>
      <c r="FX55" s="728">
        <f t="shared" ca="1" si="250"/>
        <v>10.9</v>
      </c>
      <c r="FY55" s="728">
        <f t="shared" si="251"/>
        <v>-8.4666666666666668</v>
      </c>
      <c r="FZ55" s="724"/>
      <c r="GA55" s="741"/>
      <c r="GB55" s="741" t="s">
        <v>897</v>
      </c>
      <c r="GC55" s="724"/>
      <c r="GD55" s="117"/>
      <c r="GE55" s="117"/>
      <c r="GF55" s="493">
        <f t="shared" si="273"/>
        <v>0</v>
      </c>
      <c r="GG55" s="493">
        <f t="shared" si="274"/>
        <v>0</v>
      </c>
      <c r="GH55" s="494"/>
      <c r="GI55" s="493"/>
      <c r="GJ55" s="493"/>
      <c r="GK55" s="493"/>
      <c r="GL55" s="493"/>
      <c r="GM55" s="494"/>
      <c r="GN55" s="209"/>
      <c r="GO55" s="111"/>
      <c r="GP55" s="790"/>
      <c r="GQ55" s="494"/>
      <c r="GR55" s="931"/>
      <c r="GS55" s="494">
        <f t="shared" si="275"/>
        <v>0</v>
      </c>
      <c r="GT55" s="494">
        <f t="shared" si="258"/>
        <v>0</v>
      </c>
      <c r="GU55" s="854"/>
      <c r="GV55" s="494"/>
      <c r="GW55" s="493"/>
      <c r="GX55" s="494"/>
      <c r="GY55" s="494"/>
      <c r="GZ55" s="890">
        <f t="shared" si="276"/>
        <v>0</v>
      </c>
      <c r="HA55" s="493"/>
      <c r="HB55" s="493"/>
      <c r="HC55" s="494"/>
      <c r="HD55" s="493"/>
      <c r="HE55" s="495" t="e">
        <f t="shared" si="260"/>
        <v>#DIV/0!</v>
      </c>
      <c r="HF55" s="493"/>
      <c r="HG55" s="493"/>
      <c r="HH55" s="494">
        <f t="shared" si="261"/>
        <v>0</v>
      </c>
      <c r="HI55" s="494">
        <f t="shared" si="262"/>
        <v>0</v>
      </c>
      <c r="HJ55" s="496">
        <f t="shared" si="263"/>
        <v>0</v>
      </c>
      <c r="HK55" s="494">
        <f t="shared" si="264"/>
        <v>0</v>
      </c>
      <c r="HL55" s="497"/>
      <c r="HM55" s="497"/>
      <c r="HN55" s="494"/>
      <c r="HO55" s="494"/>
      <c r="HP55" s="494">
        <f t="shared" si="265"/>
        <v>0</v>
      </c>
      <c r="HQ55" s="494"/>
      <c r="HR55" s="494">
        <f t="shared" si="277"/>
        <v>0</v>
      </c>
      <c r="HS55" s="111" t="e">
        <f t="shared" si="267"/>
        <v>#DIV/0!</v>
      </c>
      <c r="HT55" s="494"/>
      <c r="HU55" s="494"/>
      <c r="HV55" s="494">
        <f t="shared" si="192"/>
        <v>0</v>
      </c>
      <c r="HW55" s="498">
        <f t="shared" si="268"/>
        <v>0</v>
      </c>
      <c r="HX55" s="293"/>
      <c r="HY55" s="293">
        <f t="shared" si="269"/>
        <v>0</v>
      </c>
      <c r="HZ55" s="294"/>
      <c r="IA55" s="297">
        <v>0</v>
      </c>
      <c r="IB55" s="297"/>
      <c r="IC55" s="253"/>
      <c r="ID55" s="253"/>
      <c r="IE55" s="409">
        <v>0</v>
      </c>
      <c r="IF55" s="253"/>
      <c r="IG55" s="414">
        <v>0</v>
      </c>
      <c r="IH55" s="253"/>
      <c r="II55" s="625"/>
      <c r="IJ55" s="295"/>
      <c r="IK55" s="300"/>
      <c r="IL55" s="298"/>
      <c r="IM55" s="298"/>
      <c r="IN55" s="292"/>
      <c r="IO55" s="293"/>
      <c r="IP55" s="292"/>
      <c r="IQ55" s="293"/>
      <c r="IR55" s="323"/>
      <c r="IS55" s="323"/>
      <c r="IT55" s="323"/>
      <c r="IU55" s="323"/>
      <c r="IV55" s="286"/>
      <c r="IW55" s="286"/>
      <c r="IX55" s="286"/>
      <c r="IY55" s="286"/>
      <c r="IZ55" s="286"/>
      <c r="JA55" s="286"/>
      <c r="JB55" s="297" t="e">
        <f t="shared" si="278"/>
        <v>#VALUE!</v>
      </c>
      <c r="JC55" s="122"/>
      <c r="JD55" s="295"/>
      <c r="JE55" s="122"/>
      <c r="JF55" s="122"/>
      <c r="JG55" s="295"/>
    </row>
    <row r="56" spans="1:267" ht="24.95" customHeight="1">
      <c r="A56" s="899" t="s">
        <v>647</v>
      </c>
      <c r="B56" s="56" t="s">
        <v>46</v>
      </c>
      <c r="C56" s="56" t="s">
        <v>113</v>
      </c>
      <c r="D56" s="56">
        <v>2016</v>
      </c>
      <c r="E56" s="56" t="s">
        <v>322</v>
      </c>
      <c r="F56" s="56" t="s">
        <v>334</v>
      </c>
      <c r="G56" s="56" t="s">
        <v>519</v>
      </c>
      <c r="H56" s="56" t="s">
        <v>259</v>
      </c>
      <c r="I56" s="56"/>
      <c r="J56" s="56" t="s">
        <v>370</v>
      </c>
      <c r="K56" s="272" t="s">
        <v>747</v>
      </c>
      <c r="L56" s="176"/>
      <c r="M56" s="177"/>
      <c r="N56" s="178"/>
      <c r="O56" s="217">
        <v>2307</v>
      </c>
      <c r="P56" s="217">
        <v>184560</v>
      </c>
      <c r="Q56" s="217">
        <v>184560</v>
      </c>
      <c r="R56" s="217">
        <f>P56/AD56</f>
        <v>10253.333333333334</v>
      </c>
      <c r="S56" s="217">
        <f>P56/O56</f>
        <v>80</v>
      </c>
      <c r="T56" s="223">
        <f>Q56/O56</f>
        <v>80</v>
      </c>
      <c r="U56" s="223">
        <f>Q56/AJ56</f>
        <v>136.34953235124632</v>
      </c>
      <c r="V56" s="223">
        <f>Q56/AD56</f>
        <v>10253.333333333334</v>
      </c>
      <c r="W56" s="217">
        <f>O56/AD56</f>
        <v>128.16666666666666</v>
      </c>
      <c r="X56" s="218"/>
      <c r="Y56" s="226">
        <f t="shared" si="208"/>
        <v>0.58672735153879496</v>
      </c>
      <c r="Z56" s="218"/>
      <c r="AA56" s="218">
        <v>380</v>
      </c>
      <c r="AB56" s="219"/>
      <c r="AC56" s="56" t="s">
        <v>16</v>
      </c>
      <c r="AD56" s="342">
        <f t="shared" si="209"/>
        <v>18</v>
      </c>
      <c r="AE56" s="67"/>
      <c r="AF56" s="56">
        <v>18</v>
      </c>
      <c r="AG56" s="56"/>
      <c r="AH56" s="56"/>
      <c r="AI56" s="60">
        <v>1427.7</v>
      </c>
      <c r="AJ56" s="94">
        <v>1353.58</v>
      </c>
      <c r="AK56" s="60">
        <f>AJ56/AD56</f>
        <v>75.198888888888888</v>
      </c>
      <c r="AL56" s="81">
        <f>2/AD56</f>
        <v>0.1111111111111111</v>
      </c>
      <c r="AM56" s="81">
        <f>6/AD56</f>
        <v>0.33333333333333331</v>
      </c>
      <c r="AN56" s="81">
        <f>7/AD56</f>
        <v>0.3888888888888889</v>
      </c>
      <c r="AO56" s="81">
        <f>3/AD56</f>
        <v>0.16666666666666666</v>
      </c>
      <c r="AP56" s="81"/>
      <c r="AQ56" s="60"/>
      <c r="AR56" s="79"/>
      <c r="AS56" s="81"/>
      <c r="AT56" s="60"/>
      <c r="AU56" s="59" t="s">
        <v>626</v>
      </c>
      <c r="AV56" s="56"/>
      <c r="AW56" s="250">
        <v>42396</v>
      </c>
      <c r="AX56" s="250">
        <v>42475</v>
      </c>
      <c r="AY56" s="114"/>
      <c r="AZ56" s="114"/>
      <c r="BA56" s="99"/>
      <c r="BB56" s="214">
        <v>42620</v>
      </c>
      <c r="BC56" s="101">
        <v>42646</v>
      </c>
      <c r="BD56" s="101"/>
      <c r="BE56" s="214"/>
      <c r="BF56" s="101"/>
      <c r="BG56" s="170"/>
      <c r="BH56" s="213"/>
      <c r="BI56" s="170"/>
      <c r="BJ56" s="170"/>
      <c r="BK56" s="102"/>
      <c r="BL56" s="198">
        <f t="shared" si="210"/>
        <v>731</v>
      </c>
      <c r="BM56" s="198">
        <f t="shared" si="211"/>
        <v>1096</v>
      </c>
      <c r="BN56" s="198"/>
      <c r="BO56" s="170"/>
      <c r="BP56" s="175"/>
      <c r="BQ56" s="102"/>
      <c r="BR56" s="103"/>
      <c r="BS56" s="103"/>
      <c r="BT56" s="103"/>
      <c r="BU56" s="168"/>
      <c r="BV56" s="266"/>
      <c r="BW56" s="266"/>
      <c r="BX56" s="167"/>
      <c r="BY56" s="266">
        <f>DATE(YEAR(BV56),MONTH(BV56)+18,DAY(BV56))</f>
        <v>547</v>
      </c>
      <c r="BZ56" s="266"/>
      <c r="CA56" s="266"/>
      <c r="CB56" s="266" t="s">
        <v>172</v>
      </c>
      <c r="CC56" s="781"/>
      <c r="CD56" s="615"/>
      <c r="CE56" s="619">
        <v>43151</v>
      </c>
      <c r="CF56" s="445"/>
      <c r="CG56" s="600">
        <f t="shared" si="213"/>
        <v>17.7</v>
      </c>
      <c r="CH56" s="260">
        <v>16</v>
      </c>
      <c r="CI56" s="260">
        <f t="shared" si="214"/>
        <v>17</v>
      </c>
      <c r="CJ56" s="255">
        <f t="shared" si="215"/>
        <v>16</v>
      </c>
      <c r="CK56" s="255">
        <f t="shared" si="216"/>
        <v>17</v>
      </c>
      <c r="CL56" s="255">
        <f t="shared" si="217"/>
        <v>0</v>
      </c>
      <c r="CM56" s="255">
        <f t="shared" si="218"/>
        <v>0</v>
      </c>
      <c r="CN56" s="261"/>
      <c r="CO56" s="261">
        <f t="shared" si="219"/>
        <v>0</v>
      </c>
      <c r="CP56" s="256"/>
      <c r="CQ56" s="797">
        <f t="shared" si="220"/>
        <v>43636</v>
      </c>
      <c r="CR56" s="454">
        <f t="shared" si="221"/>
        <v>43636</v>
      </c>
      <c r="CS56" s="752">
        <f t="shared" si="222"/>
        <v>731</v>
      </c>
      <c r="CT56" s="256"/>
      <c r="CU56" s="883" t="e">
        <f t="shared" si="223"/>
        <v>#NUM!</v>
      </c>
      <c r="CV56" s="256"/>
      <c r="CW56" s="749">
        <f t="shared" si="224"/>
        <v>43666</v>
      </c>
      <c r="CX56" s="612">
        <f t="shared" si="270"/>
        <v>43666</v>
      </c>
      <c r="CY56" s="753"/>
      <c r="CZ56" s="122"/>
      <c r="DA56" s="125"/>
      <c r="DB56" s="125"/>
      <c r="DC56" s="125"/>
      <c r="DD56" s="125"/>
      <c r="DE56" s="125"/>
      <c r="DF56" s="56"/>
      <c r="DG56" s="296">
        <f t="shared" si="225"/>
        <v>44002</v>
      </c>
      <c r="DH56" s="56"/>
      <c r="DI56" s="56"/>
      <c r="DJ56" s="56"/>
      <c r="DK56" s="56"/>
      <c r="DL56" s="56"/>
      <c r="DM56" s="56"/>
      <c r="DN56" s="56"/>
      <c r="DO56" s="56"/>
      <c r="DP56" s="56"/>
      <c r="DQ56" s="56"/>
      <c r="DR56" s="56"/>
      <c r="DS56" s="56"/>
      <c r="DT56" s="126">
        <v>42292</v>
      </c>
      <c r="DU56" s="126">
        <v>42307</v>
      </c>
      <c r="DV56" s="126">
        <v>42292</v>
      </c>
      <c r="DW56" s="691">
        <f t="shared" si="226"/>
        <v>-15</v>
      </c>
      <c r="DX56" s="126">
        <v>42412</v>
      </c>
      <c r="DY56" s="126">
        <v>42412</v>
      </c>
      <c r="DZ56" s="691">
        <f t="shared" si="227"/>
        <v>0</v>
      </c>
      <c r="EA56" s="126">
        <v>42454</v>
      </c>
      <c r="EB56" s="340">
        <v>42593</v>
      </c>
      <c r="EC56" s="691">
        <f t="shared" si="228"/>
        <v>139</v>
      </c>
      <c r="ED56" s="126">
        <v>42472</v>
      </c>
      <c r="EE56" s="340">
        <v>42690</v>
      </c>
      <c r="EF56" s="691">
        <f t="shared" si="229"/>
        <v>218</v>
      </c>
      <c r="EG56" s="126">
        <v>42727</v>
      </c>
      <c r="EH56" s="126">
        <v>42905</v>
      </c>
      <c r="EI56" s="691">
        <f t="shared" si="230"/>
        <v>178</v>
      </c>
      <c r="EJ56" s="719"/>
      <c r="EK56" s="706">
        <v>43136</v>
      </c>
      <c r="EL56" s="701">
        <f t="shared" ca="1" si="271"/>
        <v>43188</v>
      </c>
      <c r="EM56" s="697">
        <f t="shared" ca="1" si="231"/>
        <v>52</v>
      </c>
      <c r="EN56" s="706">
        <v>43151</v>
      </c>
      <c r="EO56" s="701">
        <f t="shared" ca="1" si="272"/>
        <v>43188</v>
      </c>
      <c r="EP56" s="697">
        <f t="shared" ca="1" si="232"/>
        <v>37</v>
      </c>
      <c r="EQ56" s="695"/>
      <c r="ER56" s="701">
        <f t="shared" ca="1" si="233"/>
        <v>43188</v>
      </c>
      <c r="ES56" s="697" t="str">
        <f t="shared" ca="1" si="234"/>
        <v>0</v>
      </c>
      <c r="ET56" s="695"/>
      <c r="EU56" s="722">
        <f t="shared" ca="1" si="235"/>
        <v>43188</v>
      </c>
      <c r="EV56" s="698" t="str">
        <f t="shared" ca="1" si="236"/>
        <v>0</v>
      </c>
      <c r="EW56" s="701"/>
      <c r="EX56" s="722">
        <f t="shared" ca="1" si="237"/>
        <v>43188</v>
      </c>
      <c r="EY56" s="697" t="str">
        <f t="shared" ca="1" si="238"/>
        <v>0</v>
      </c>
      <c r="EZ56" s="701"/>
      <c r="FA56" s="701">
        <f t="shared" ca="1" si="239"/>
        <v>43188</v>
      </c>
      <c r="FB56" s="697" t="str">
        <f t="shared" ca="1" si="240"/>
        <v>0</v>
      </c>
      <c r="FC56" s="703"/>
      <c r="FD56" s="703"/>
      <c r="FE56" s="697" t="str">
        <f t="shared" si="242"/>
        <v>0</v>
      </c>
      <c r="FF56" s="701"/>
      <c r="FG56" s="701"/>
      <c r="FH56" s="697" t="str">
        <f t="shared" si="244"/>
        <v>0</v>
      </c>
      <c r="FI56" s="703"/>
      <c r="FJ56" s="703"/>
      <c r="FK56" s="697" t="str">
        <f t="shared" si="246"/>
        <v>0</v>
      </c>
      <c r="FL56" s="701"/>
      <c r="FM56" s="701"/>
      <c r="FN56" s="701"/>
      <c r="FO56" s="701">
        <v>43691</v>
      </c>
      <c r="FP56" s="701">
        <f t="shared" si="247"/>
        <v>43636</v>
      </c>
      <c r="FQ56" s="699">
        <v>18</v>
      </c>
      <c r="FR56" s="701">
        <v>43721</v>
      </c>
      <c r="FS56" s="701">
        <f t="shared" si="249"/>
        <v>43666</v>
      </c>
      <c r="FT56" s="727">
        <v>240000</v>
      </c>
      <c r="FU56" s="727">
        <v>240000</v>
      </c>
      <c r="FV56" s="727"/>
      <c r="FW56" s="727"/>
      <c r="FX56" s="728">
        <f t="shared" ca="1" si="250"/>
        <v>20.3</v>
      </c>
      <c r="FY56" s="728">
        <f t="shared" si="251"/>
        <v>-1.8333333333333333</v>
      </c>
      <c r="FZ56" s="724"/>
      <c r="GA56" s="741"/>
      <c r="GB56" s="741" t="s">
        <v>175</v>
      </c>
      <c r="GC56" s="724"/>
      <c r="GD56" s="117"/>
      <c r="GE56" s="117"/>
      <c r="GF56" s="95">
        <f>+GP56+GU56+HB56+HV56</f>
        <v>3075176.7292601359</v>
      </c>
      <c r="GG56" s="70">
        <f>GQ56+GV56+HC56+HV56+HD56+HG56</f>
        <v>3230819</v>
      </c>
      <c r="GH56" s="96">
        <f>GG56-GF56</f>
        <v>155642.27073986409</v>
      </c>
      <c r="GI56" s="52">
        <f>GG56/AI56</f>
        <v>2262.9537017580724</v>
      </c>
      <c r="GJ56" s="52">
        <f>GG56/AD56</f>
        <v>179489.94444444444</v>
      </c>
      <c r="GK56" s="95">
        <v>2485795.7500000005</v>
      </c>
      <c r="GL56" s="70">
        <v>2579834.0699999998</v>
      </c>
      <c r="GM56" s="96">
        <f>GL56-GK56</f>
        <v>94038.319999999367</v>
      </c>
      <c r="GN56" s="136">
        <f>GL56*1.021/GG56</f>
        <v>0.81527643160139884</v>
      </c>
      <c r="GO56" s="137">
        <v>0.4</v>
      </c>
      <c r="GP56" s="95">
        <v>896735</v>
      </c>
      <c r="GQ56" s="70">
        <v>1097604</v>
      </c>
      <c r="GR56" s="925"/>
      <c r="GS56" s="52">
        <f>GQ56/AD56</f>
        <v>60978</v>
      </c>
      <c r="GT56" s="97">
        <f t="shared" si="258"/>
        <v>200869</v>
      </c>
      <c r="GU56" s="95">
        <v>1668441.7292601359</v>
      </c>
      <c r="GV56" s="70">
        <f>GW56+GX56</f>
        <v>1611685</v>
      </c>
      <c r="GW56" s="89">
        <v>319456</v>
      </c>
      <c r="GX56" s="14">
        <v>1292229</v>
      </c>
      <c r="GY56" s="97">
        <f>GV56-GU56</f>
        <v>-56756.729260135908</v>
      </c>
      <c r="GZ56" s="889">
        <f>GV56/AD56</f>
        <v>89538.055555555562</v>
      </c>
      <c r="HA56" s="70"/>
      <c r="HB56" s="95">
        <v>270000</v>
      </c>
      <c r="HC56" s="70">
        <f>HB56</f>
        <v>270000</v>
      </c>
      <c r="HD56" s="70"/>
      <c r="HE56" s="90">
        <f t="shared" si="260"/>
        <v>8.357014119330114E-2</v>
      </c>
      <c r="HF56" s="326"/>
      <c r="HG56" s="70">
        <v>11530</v>
      </c>
      <c r="HH56" s="91">
        <f t="shared" si="261"/>
        <v>0</v>
      </c>
      <c r="HI56" s="52">
        <f t="shared" si="262"/>
        <v>15000</v>
      </c>
      <c r="HJ56" s="84">
        <f t="shared" si="263"/>
        <v>75978</v>
      </c>
      <c r="HK56" s="91">
        <f t="shared" si="264"/>
        <v>0</v>
      </c>
      <c r="HL56" s="92">
        <v>5.36</v>
      </c>
      <c r="HM56" s="92">
        <v>5.36</v>
      </c>
      <c r="HN56" s="93"/>
      <c r="HO56" s="93"/>
      <c r="HP56" s="52">
        <f t="shared" si="265"/>
        <v>64818.611111111109</v>
      </c>
      <c r="HQ56" s="93"/>
      <c r="HR56" s="52">
        <f>(GQ56+HC56+HO56+HQ56)/AD56</f>
        <v>75978</v>
      </c>
      <c r="HS56" s="53">
        <f t="shared" si="267"/>
        <v>0.37940421078846664</v>
      </c>
      <c r="HT56" s="93"/>
      <c r="HU56" s="93"/>
      <c r="HV56" s="70">
        <f t="shared" si="192"/>
        <v>240000</v>
      </c>
      <c r="HW56" s="98">
        <f t="shared" si="268"/>
        <v>3075176.7292601359</v>
      </c>
      <c r="HX56" s="293">
        <v>140149</v>
      </c>
      <c r="HY56" s="293">
        <f t="shared" si="269"/>
        <v>70074</v>
      </c>
      <c r="HZ56" s="118">
        <v>42430</v>
      </c>
      <c r="IA56" s="243"/>
      <c r="IB56" s="243"/>
      <c r="IC56" s="118"/>
      <c r="ID56" s="118">
        <v>42501</v>
      </c>
      <c r="IE56" s="243">
        <v>7875</v>
      </c>
      <c r="IF56" s="341">
        <v>42430</v>
      </c>
      <c r="IG56" s="243">
        <v>27162</v>
      </c>
      <c r="IH56" s="118">
        <v>42669</v>
      </c>
      <c r="II56" s="243">
        <v>14015</v>
      </c>
      <c r="IJ56" s="119" t="s">
        <v>603</v>
      </c>
      <c r="IK56" s="403">
        <v>21022</v>
      </c>
      <c r="IL56" s="338"/>
      <c r="IM56" s="338"/>
      <c r="IN56" s="292"/>
      <c r="IO56" s="293"/>
      <c r="IP56" s="292"/>
      <c r="IQ56" s="293"/>
      <c r="IR56" s="323"/>
      <c r="IS56" s="323"/>
      <c r="IT56" s="323"/>
      <c r="IU56" s="323"/>
      <c r="IV56" s="286"/>
      <c r="IW56" s="286"/>
      <c r="IX56" s="286"/>
      <c r="IY56" s="286"/>
      <c r="IZ56" s="286"/>
      <c r="JA56" s="286"/>
      <c r="JB56" s="243">
        <v>27162</v>
      </c>
      <c r="JC56" s="340"/>
      <c r="JD56" s="119"/>
      <c r="JE56" s="340"/>
      <c r="JF56" s="340"/>
      <c r="JG56" s="119"/>
    </row>
    <row r="57" spans="1:267" ht="42" customHeight="1">
      <c r="A57" s="899" t="s">
        <v>258</v>
      </c>
      <c r="B57" s="56" t="s">
        <v>40</v>
      </c>
      <c r="C57" s="56" t="s">
        <v>115</v>
      </c>
      <c r="D57" s="56">
        <v>2015</v>
      </c>
      <c r="E57" s="56" t="s">
        <v>262</v>
      </c>
      <c r="F57" s="56" t="s">
        <v>423</v>
      </c>
      <c r="G57" s="8" t="s">
        <v>519</v>
      </c>
      <c r="H57" s="56" t="s">
        <v>177</v>
      </c>
      <c r="I57" s="56"/>
      <c r="J57" s="56"/>
      <c r="K57" s="272"/>
      <c r="L57" s="176" t="s">
        <v>64</v>
      </c>
      <c r="M57" s="177" t="s">
        <v>139</v>
      </c>
      <c r="N57" s="178"/>
      <c r="O57" s="217">
        <v>1263</v>
      </c>
      <c r="P57" s="217">
        <v>126500</v>
      </c>
      <c r="Q57" s="217">
        <v>126500</v>
      </c>
      <c r="R57" s="217">
        <f>P57/AD57</f>
        <v>7027.7777777777774</v>
      </c>
      <c r="S57" s="217">
        <f>P57/O57</f>
        <v>100.15835312747427</v>
      </c>
      <c r="T57" s="223">
        <f>Q57/O57</f>
        <v>100.15835312747427</v>
      </c>
      <c r="U57" s="223">
        <f>Q57/AJ57</f>
        <v>86.456710134230022</v>
      </c>
      <c r="V57" s="223">
        <f>Q57/AD57</f>
        <v>7027.7777777777774</v>
      </c>
      <c r="W57" s="217">
        <f>O57/AD57</f>
        <v>70.166666666666671</v>
      </c>
      <c r="X57" s="218"/>
      <c r="Y57" s="219">
        <f t="shared" si="208"/>
        <v>1.158479809976247</v>
      </c>
      <c r="Z57" s="218"/>
      <c r="AA57" s="218"/>
      <c r="AB57" s="219"/>
      <c r="AC57" s="57" t="s">
        <v>16</v>
      </c>
      <c r="AD57" s="342">
        <f t="shared" si="209"/>
        <v>18</v>
      </c>
      <c r="AE57" s="67"/>
      <c r="AF57" s="56">
        <v>18</v>
      </c>
      <c r="AG57" s="56"/>
      <c r="AH57" s="56"/>
      <c r="AI57" s="60">
        <v>1509.87</v>
      </c>
      <c r="AJ57" s="573">
        <v>1463.16</v>
      </c>
      <c r="AK57" s="10">
        <f>AJ57/AD57</f>
        <v>81.286666666666676</v>
      </c>
      <c r="AL57" s="81">
        <v>0</v>
      </c>
      <c r="AM57" s="81">
        <f>6/AD57</f>
        <v>0.33333333333333331</v>
      </c>
      <c r="AN57" s="81">
        <f>6/AD57</f>
        <v>0.33333333333333331</v>
      </c>
      <c r="AO57" s="81">
        <f>6/AD57</f>
        <v>0.33333333333333331</v>
      </c>
      <c r="AP57" s="81">
        <v>0</v>
      </c>
      <c r="AQ57" s="60"/>
      <c r="AR57" s="79">
        <v>0</v>
      </c>
      <c r="AS57" s="81">
        <v>0</v>
      </c>
      <c r="AT57" s="62">
        <v>3</v>
      </c>
      <c r="AU57" s="59" t="s">
        <v>626</v>
      </c>
      <c r="AV57" s="56" t="s">
        <v>121</v>
      </c>
      <c r="AW57" s="194">
        <v>42047</v>
      </c>
      <c r="AX57" s="56"/>
      <c r="AY57" s="114" t="s">
        <v>256</v>
      </c>
      <c r="AZ57" s="114" t="s">
        <v>294</v>
      </c>
      <c r="BA57" s="99"/>
      <c r="BB57" s="214">
        <v>42298</v>
      </c>
      <c r="BC57" s="101"/>
      <c r="BD57" s="101"/>
      <c r="BE57" s="214"/>
      <c r="BF57" s="101"/>
      <c r="BG57" s="170">
        <v>42885</v>
      </c>
      <c r="BH57" s="213">
        <v>42929</v>
      </c>
      <c r="BI57" s="170">
        <v>43013</v>
      </c>
      <c r="BJ57" s="170">
        <v>42957</v>
      </c>
      <c r="BK57" s="320">
        <f>BI57</f>
        <v>43013</v>
      </c>
      <c r="BL57" s="319">
        <f t="shared" si="210"/>
        <v>43743</v>
      </c>
      <c r="BM57" s="319">
        <f t="shared" si="211"/>
        <v>44109</v>
      </c>
      <c r="BN57" s="319" t="str">
        <f>IF(CX57&gt;BL57,"oui","non")</f>
        <v>non</v>
      </c>
      <c r="BO57" s="170">
        <v>42920</v>
      </c>
      <c r="BP57" s="115" t="s">
        <v>721</v>
      </c>
      <c r="BQ57" s="102"/>
      <c r="BR57" s="103"/>
      <c r="BS57" s="103"/>
      <c r="BT57" s="103"/>
      <c r="BU57" s="168" t="s">
        <v>145</v>
      </c>
      <c r="BV57" s="172"/>
      <c r="BW57" s="266"/>
      <c r="BX57" s="167"/>
      <c r="BY57" s="172">
        <f>DATE(YEAR(BV57),MONTH(BV57)+18,DAY(BV57))</f>
        <v>547</v>
      </c>
      <c r="BZ57" s="266"/>
      <c r="CA57" s="266"/>
      <c r="CB57" s="266" t="s">
        <v>172</v>
      </c>
      <c r="CC57" s="781"/>
      <c r="CD57" s="615"/>
      <c r="CE57" s="598">
        <v>43122</v>
      </c>
      <c r="CF57" s="599">
        <v>2018</v>
      </c>
      <c r="CG57" s="605">
        <f t="shared" si="213"/>
        <v>27.466666666666665</v>
      </c>
      <c r="CH57" s="270">
        <v>15</v>
      </c>
      <c r="CI57" s="270">
        <f t="shared" si="214"/>
        <v>16</v>
      </c>
      <c r="CJ57" s="255">
        <f t="shared" si="215"/>
        <v>15</v>
      </c>
      <c r="CK57" s="255">
        <f t="shared" si="216"/>
        <v>18</v>
      </c>
      <c r="CL57" s="255">
        <f t="shared" si="217"/>
        <v>0</v>
      </c>
      <c r="CM57" s="255">
        <f t="shared" si="218"/>
        <v>2</v>
      </c>
      <c r="CN57" s="261"/>
      <c r="CO57" s="245">
        <f t="shared" si="219"/>
        <v>0</v>
      </c>
      <c r="CP57" s="256"/>
      <c r="CQ57" s="797">
        <f t="shared" si="220"/>
        <v>43577</v>
      </c>
      <c r="CR57" s="612">
        <f t="shared" si="221"/>
        <v>43577</v>
      </c>
      <c r="CS57" s="752">
        <f t="shared" si="222"/>
        <v>731</v>
      </c>
      <c r="CT57" s="256"/>
      <c r="CU57" s="883" t="e">
        <f t="shared" si="223"/>
        <v>#NUM!</v>
      </c>
      <c r="CV57" s="256"/>
      <c r="CW57" s="749">
        <f>DATE(YEAR(CR57),MONTH(CR57)+3,DAY(CR57))</f>
        <v>43668</v>
      </c>
      <c r="CX57" s="612">
        <f t="shared" si="270"/>
        <v>43668</v>
      </c>
      <c r="CY57" s="753"/>
      <c r="CZ57" s="122"/>
      <c r="DA57" s="125"/>
      <c r="DB57" s="125"/>
      <c r="DC57" s="125"/>
      <c r="DD57" s="125"/>
      <c r="DE57" s="125"/>
      <c r="DF57" s="56"/>
      <c r="DG57" s="296">
        <f t="shared" si="225"/>
        <v>43943</v>
      </c>
      <c r="DH57" s="56"/>
      <c r="DI57" s="56"/>
      <c r="DJ57" s="56"/>
      <c r="DK57" s="56"/>
      <c r="DL57" s="56"/>
      <c r="DM57" s="56"/>
      <c r="DN57" s="56"/>
      <c r="DO57" s="56"/>
      <c r="DP57" s="56"/>
      <c r="DQ57" s="56"/>
      <c r="DR57" s="56"/>
      <c r="DS57" s="56"/>
      <c r="DT57" s="126">
        <v>41963</v>
      </c>
      <c r="DU57" s="126">
        <v>41955</v>
      </c>
      <c r="DV57" s="126">
        <v>41955</v>
      </c>
      <c r="DW57" s="691">
        <f t="shared" si="226"/>
        <v>0</v>
      </c>
      <c r="DX57" s="126">
        <v>42041</v>
      </c>
      <c r="DY57" s="126">
        <v>42012</v>
      </c>
      <c r="DZ57" s="691">
        <f t="shared" si="227"/>
        <v>-29</v>
      </c>
      <c r="EA57" s="126">
        <v>42033</v>
      </c>
      <c r="EB57" s="126">
        <v>42033</v>
      </c>
      <c r="EC57" s="691">
        <f t="shared" si="228"/>
        <v>0</v>
      </c>
      <c r="ED57" s="126">
        <v>42109</v>
      </c>
      <c r="EE57" s="126">
        <v>42109</v>
      </c>
      <c r="EF57" s="691">
        <f t="shared" si="229"/>
        <v>0</v>
      </c>
      <c r="EG57" s="126">
        <v>42174</v>
      </c>
      <c r="EH57" s="126">
        <v>42174</v>
      </c>
      <c r="EI57" s="691">
        <f t="shared" si="230"/>
        <v>0</v>
      </c>
      <c r="EJ57" s="126">
        <v>42472</v>
      </c>
      <c r="EK57" s="126">
        <v>42502</v>
      </c>
      <c r="EL57" s="126">
        <v>43088</v>
      </c>
      <c r="EM57" s="691">
        <f t="shared" si="231"/>
        <v>586</v>
      </c>
      <c r="EN57" s="126">
        <v>43112</v>
      </c>
      <c r="EO57" s="126">
        <v>43122</v>
      </c>
      <c r="EP57" s="691">
        <f t="shared" si="232"/>
        <v>10</v>
      </c>
      <c r="EQ57" s="701"/>
      <c r="ER57" s="701">
        <f t="shared" ca="1" si="233"/>
        <v>43188</v>
      </c>
      <c r="ES57" s="697" t="str">
        <f t="shared" ca="1" si="234"/>
        <v>0</v>
      </c>
      <c r="ET57" s="701"/>
      <c r="EU57" s="722">
        <f t="shared" ca="1" si="235"/>
        <v>43188</v>
      </c>
      <c r="EV57" s="698" t="str">
        <f t="shared" ca="1" si="236"/>
        <v>0</v>
      </c>
      <c r="EW57" s="701"/>
      <c r="EX57" s="722">
        <f t="shared" ca="1" si="237"/>
        <v>43188</v>
      </c>
      <c r="EY57" s="697" t="str">
        <f t="shared" ca="1" si="238"/>
        <v>0</v>
      </c>
      <c r="EZ57" s="701"/>
      <c r="FA57" s="701">
        <f t="shared" ca="1" si="239"/>
        <v>43188</v>
      </c>
      <c r="FB57" s="697" t="str">
        <f t="shared" ca="1" si="240"/>
        <v>0</v>
      </c>
      <c r="FC57" s="739"/>
      <c r="FD57" s="739"/>
      <c r="FE57" s="697" t="str">
        <f t="shared" si="242"/>
        <v>0</v>
      </c>
      <c r="FF57" s="739"/>
      <c r="FG57" s="701"/>
      <c r="FH57" s="697" t="str">
        <f t="shared" si="244"/>
        <v>0</v>
      </c>
      <c r="FI57" s="701"/>
      <c r="FJ57" s="701"/>
      <c r="FK57" s="697" t="str">
        <f t="shared" si="246"/>
        <v>0</v>
      </c>
      <c r="FL57" s="703"/>
      <c r="FM57" s="703"/>
      <c r="FN57" s="703"/>
      <c r="FO57" s="701">
        <v>43540</v>
      </c>
      <c r="FP57" s="701">
        <f t="shared" si="247"/>
        <v>43577</v>
      </c>
      <c r="FQ57" s="699">
        <f>(DATEDIF(EO57,FO57,"d"))/30</f>
        <v>13.933333333333334</v>
      </c>
      <c r="FR57" s="701">
        <v>43571</v>
      </c>
      <c r="FS57" s="701">
        <f t="shared" si="249"/>
        <v>43668</v>
      </c>
      <c r="FT57" s="727"/>
      <c r="FU57" s="727"/>
      <c r="FV57" s="727">
        <v>110043</v>
      </c>
      <c r="FW57" s="727"/>
      <c r="FX57" s="728">
        <f t="shared" si="250"/>
        <v>18.899999999999999</v>
      </c>
      <c r="FY57" s="728">
        <f t="shared" si="251"/>
        <v>3.2333333333333334</v>
      </c>
      <c r="FZ57" s="724" t="s">
        <v>842</v>
      </c>
      <c r="GA57" s="741"/>
      <c r="GB57" s="741" t="s">
        <v>900</v>
      </c>
      <c r="GC57" s="741" t="s">
        <v>848</v>
      </c>
      <c r="GD57" s="117"/>
      <c r="GE57" s="117"/>
      <c r="GF57" s="95">
        <f>GP57+GU57+HB57</f>
        <v>3031790</v>
      </c>
      <c r="GG57" s="70">
        <f>GQ57+GV57+HC57+HV57+HD57+HG57</f>
        <v>2893093</v>
      </c>
      <c r="GH57" s="917">
        <f>GG57-GF57</f>
        <v>-138697</v>
      </c>
      <c r="GI57" s="924">
        <f>GG57/AI57</f>
        <v>1916.12059316365</v>
      </c>
      <c r="GJ57" s="12">
        <f>GG57/AD57</f>
        <v>160727.38888888888</v>
      </c>
      <c r="GK57" s="14">
        <v>2583163.1920000003</v>
      </c>
      <c r="GL57" s="14">
        <v>2614548</v>
      </c>
      <c r="GM57" s="12">
        <f>GL57-GK57</f>
        <v>31384.807999999728</v>
      </c>
      <c r="GN57" s="12">
        <f>GL57*1.021/GG57</f>
        <v>0.92269882371565659</v>
      </c>
      <c r="GO57" s="70">
        <v>0.39750000000000002</v>
      </c>
      <c r="GP57" s="917">
        <v>883707</v>
      </c>
      <c r="GQ57" s="917">
        <v>866778</v>
      </c>
      <c r="GR57" s="925">
        <v>866176</v>
      </c>
      <c r="GS57" s="14">
        <f>GQ57/AD57</f>
        <v>48154.333333333336</v>
      </c>
      <c r="GT57" s="14">
        <f t="shared" si="258"/>
        <v>-16929</v>
      </c>
      <c r="GU57" s="12">
        <v>1788083</v>
      </c>
      <c r="GV57" s="12">
        <f>GW57+GX57</f>
        <v>1657979</v>
      </c>
      <c r="GW57" s="14">
        <v>261692</v>
      </c>
      <c r="GX57" s="14">
        <v>1396287</v>
      </c>
      <c r="GY57" s="12">
        <f>GV57-GU57</f>
        <v>-130104</v>
      </c>
      <c r="GZ57" s="14">
        <f>GV57/AD57</f>
        <v>92109.944444444438</v>
      </c>
      <c r="HA57" s="12"/>
      <c r="HB57" s="12">
        <v>360000</v>
      </c>
      <c r="HC57" s="12">
        <v>360000</v>
      </c>
      <c r="HD57" s="12"/>
      <c r="HE57" s="608">
        <f t="shared" si="260"/>
        <v>0.12443429920849416</v>
      </c>
      <c r="HF57" s="95"/>
      <c r="HG57" s="70">
        <v>8336</v>
      </c>
      <c r="HH57" s="23">
        <f t="shared" si="261"/>
        <v>0</v>
      </c>
      <c r="HI57" s="22">
        <f t="shared" si="262"/>
        <v>20000</v>
      </c>
      <c r="HJ57" s="84">
        <f t="shared" si="263"/>
        <v>68154.333333333328</v>
      </c>
      <c r="HK57" s="23">
        <f t="shared" si="264"/>
        <v>0</v>
      </c>
      <c r="HL57" s="92">
        <v>5.19</v>
      </c>
      <c r="HM57" s="92">
        <v>5.13</v>
      </c>
      <c r="HN57" s="40">
        <v>0</v>
      </c>
      <c r="HO57" s="40">
        <v>0</v>
      </c>
      <c r="HP57" s="22">
        <f>(GQ57+HC57+HO57)/AD57</f>
        <v>68154.333333333328</v>
      </c>
      <c r="HQ57" s="40">
        <v>0</v>
      </c>
      <c r="HR57" s="22">
        <f>(GQ57+HC57+HO57+HQ57)/AD57</f>
        <v>68154.333333333328</v>
      </c>
      <c r="HS57" s="53">
        <f>(GQ57+HC57+HO57+HQ57)/(HN57+GG57-HT57)</f>
        <v>0.42403683531777236</v>
      </c>
      <c r="HT57" s="40">
        <v>0</v>
      </c>
      <c r="HU57" s="40"/>
      <c r="HV57" s="12">
        <f t="shared" si="192"/>
        <v>0</v>
      </c>
      <c r="HW57" s="42">
        <f>GG57+HN57</f>
        <v>2893093</v>
      </c>
      <c r="HX57" s="293">
        <v>143558</v>
      </c>
      <c r="HY57" s="293">
        <f t="shared" si="269"/>
        <v>93313</v>
      </c>
      <c r="HZ57" s="118">
        <v>41990</v>
      </c>
      <c r="IA57" s="243">
        <v>14522</v>
      </c>
      <c r="IB57" s="243"/>
      <c r="IC57" s="118"/>
      <c r="ID57" s="118">
        <v>41992</v>
      </c>
      <c r="IE57" s="243"/>
      <c r="IF57" s="118"/>
      <c r="IG57" s="243">
        <v>21783</v>
      </c>
      <c r="IH57" s="118">
        <v>42086</v>
      </c>
      <c r="II57" s="243">
        <v>13917</v>
      </c>
      <c r="IJ57" s="119">
        <v>42202</v>
      </c>
      <c r="IK57" s="403">
        <v>21557</v>
      </c>
      <c r="IL57" s="338"/>
      <c r="IM57" s="338"/>
      <c r="IN57" s="126">
        <v>42989</v>
      </c>
      <c r="IO57" s="243">
        <v>7178</v>
      </c>
      <c r="IP57" s="126">
        <v>43092</v>
      </c>
      <c r="IQ57" s="243">
        <v>14356</v>
      </c>
      <c r="IR57" s="324"/>
      <c r="IS57" s="324"/>
      <c r="IT57" s="324"/>
      <c r="IU57" s="324"/>
      <c r="IV57" s="286"/>
      <c r="IW57" s="286"/>
      <c r="IX57" s="286"/>
      <c r="IY57" s="286"/>
      <c r="IZ57" s="286"/>
      <c r="JA57" s="286"/>
      <c r="JB57" s="243">
        <v>21783</v>
      </c>
      <c r="JC57" s="126"/>
      <c r="JD57" s="119"/>
      <c r="JE57" s="126"/>
      <c r="JF57" s="126"/>
      <c r="JG57" s="119"/>
    </row>
    <row r="58" spans="1:267" ht="24.95" customHeight="1">
      <c r="A58" s="930" t="s">
        <v>761</v>
      </c>
      <c r="B58" s="56" t="s">
        <v>46</v>
      </c>
      <c r="C58" s="56" t="s">
        <v>113</v>
      </c>
      <c r="D58" s="56">
        <v>2016</v>
      </c>
      <c r="E58" s="56" t="s">
        <v>321</v>
      </c>
      <c r="F58" s="56" t="s">
        <v>334</v>
      </c>
      <c r="G58" s="56" t="s">
        <v>185</v>
      </c>
      <c r="H58" s="56" t="s">
        <v>270</v>
      </c>
      <c r="I58" s="56"/>
      <c r="J58" s="56" t="s">
        <v>372</v>
      </c>
      <c r="K58" s="272" t="s">
        <v>696</v>
      </c>
      <c r="L58" s="176"/>
      <c r="M58" s="177"/>
      <c r="N58" s="178"/>
      <c r="O58" s="217">
        <v>8111</v>
      </c>
      <c r="P58" s="217">
        <v>405550</v>
      </c>
      <c r="Q58" s="217">
        <v>405550</v>
      </c>
      <c r="R58" s="217">
        <f>P58/AD58</f>
        <v>11587.142857142857</v>
      </c>
      <c r="S58" s="217">
        <f>P58/O58</f>
        <v>50</v>
      </c>
      <c r="T58" s="223">
        <f>Q58/O58</f>
        <v>50</v>
      </c>
      <c r="U58" s="223">
        <f>Q58/AJ58</f>
        <v>175.71642735205677</v>
      </c>
      <c r="V58" s="223">
        <f>Q58/AD58</f>
        <v>11587.142857142857</v>
      </c>
      <c r="W58" s="217">
        <f>O58/AD58</f>
        <v>231.74285714285713</v>
      </c>
      <c r="X58" s="218"/>
      <c r="Y58" s="226">
        <f t="shared" si="208"/>
        <v>0.28454937738873137</v>
      </c>
      <c r="Z58" s="218"/>
      <c r="AA58" s="218">
        <v>450</v>
      </c>
      <c r="AB58" s="219"/>
      <c r="AC58" s="56" t="s">
        <v>16</v>
      </c>
      <c r="AD58" s="342">
        <f t="shared" si="209"/>
        <v>35</v>
      </c>
      <c r="AE58" s="67"/>
      <c r="AF58" s="56">
        <v>35</v>
      </c>
      <c r="AG58" s="56"/>
      <c r="AH58" s="8"/>
      <c r="AI58" s="60">
        <v>2316.3530000000001</v>
      </c>
      <c r="AJ58" s="237">
        <v>2307.98</v>
      </c>
      <c r="AK58" s="10">
        <f>AJ58/AD58</f>
        <v>65.942285714285717</v>
      </c>
      <c r="AL58" s="81">
        <f>8/AD58</f>
        <v>0.22857142857142856</v>
      </c>
      <c r="AM58" s="81">
        <f>8/AD58</f>
        <v>0.22857142857142856</v>
      </c>
      <c r="AN58" s="81">
        <f>8/AD58</f>
        <v>0.22857142857142856</v>
      </c>
      <c r="AO58" s="81">
        <f>11/AD58</f>
        <v>0.31428571428571428</v>
      </c>
      <c r="AP58" s="81"/>
      <c r="AQ58" s="60"/>
      <c r="AR58" s="79"/>
      <c r="AS58" s="81"/>
      <c r="AT58" s="60"/>
      <c r="AU58" s="59" t="s">
        <v>626</v>
      </c>
      <c r="AV58" s="56"/>
      <c r="AW58" s="250">
        <v>42396</v>
      </c>
      <c r="AX58" s="250">
        <v>42475</v>
      </c>
      <c r="AY58" s="114"/>
      <c r="AZ58" s="114"/>
      <c r="BA58" s="99"/>
      <c r="BB58" s="214">
        <v>42660</v>
      </c>
      <c r="BC58" s="101"/>
      <c r="BD58" s="101"/>
      <c r="BE58" s="214"/>
      <c r="BF58" s="101"/>
      <c r="BG58" s="170">
        <v>42886</v>
      </c>
      <c r="BH58" s="212">
        <v>42929</v>
      </c>
      <c r="BI58" s="170">
        <v>43013</v>
      </c>
      <c r="BJ58" s="170">
        <v>42957</v>
      </c>
      <c r="BK58" s="320">
        <f>BI58</f>
        <v>43013</v>
      </c>
      <c r="BL58" s="319">
        <f t="shared" si="210"/>
        <v>43743</v>
      </c>
      <c r="BM58" s="319">
        <f t="shared" si="211"/>
        <v>44109</v>
      </c>
      <c r="BN58" s="319" t="str">
        <f>IF(CX58&gt;BL58,"oui","non")</f>
        <v>non</v>
      </c>
      <c r="BO58" s="169">
        <v>42920</v>
      </c>
      <c r="BP58" s="115" t="s">
        <v>605</v>
      </c>
      <c r="BQ58" s="102"/>
      <c r="BR58" s="103"/>
      <c r="BS58" s="103"/>
      <c r="BT58" s="103"/>
      <c r="BU58" s="168"/>
      <c r="BV58" s="172"/>
      <c r="BW58" s="266"/>
      <c r="BX58" s="167"/>
      <c r="BY58" s="172">
        <f>DATE(YEAR(BV58),MONTH(BV58)+18,DAY(BV58))</f>
        <v>547</v>
      </c>
      <c r="BZ58" s="266"/>
      <c r="CA58" s="266"/>
      <c r="CB58" s="266" t="s">
        <v>172</v>
      </c>
      <c r="CC58" s="781"/>
      <c r="CD58" s="615"/>
      <c r="CE58" s="598">
        <v>43164</v>
      </c>
      <c r="CF58" s="599">
        <v>2018</v>
      </c>
      <c r="CG58" s="605">
        <f t="shared" si="213"/>
        <v>16.8</v>
      </c>
      <c r="CH58" s="270">
        <v>14</v>
      </c>
      <c r="CI58" s="260">
        <f t="shared" si="214"/>
        <v>15</v>
      </c>
      <c r="CJ58" s="255">
        <f t="shared" si="215"/>
        <v>14</v>
      </c>
      <c r="CK58" s="255">
        <f t="shared" si="216"/>
        <v>17</v>
      </c>
      <c r="CL58" s="255">
        <f t="shared" si="217"/>
        <v>0</v>
      </c>
      <c r="CM58" s="255">
        <f t="shared" si="218"/>
        <v>2</v>
      </c>
      <c r="CN58" s="261"/>
      <c r="CO58" s="261">
        <f t="shared" si="219"/>
        <v>0</v>
      </c>
      <c r="CP58" s="256"/>
      <c r="CQ58" s="797">
        <f t="shared" si="220"/>
        <v>43590</v>
      </c>
      <c r="CR58" s="513">
        <v>43590</v>
      </c>
      <c r="CS58" s="752">
        <f t="shared" si="222"/>
        <v>731</v>
      </c>
      <c r="CT58" s="256"/>
      <c r="CU58" s="883" t="e">
        <f t="shared" si="223"/>
        <v>#NUM!</v>
      </c>
      <c r="CV58" s="256"/>
      <c r="CW58" s="749">
        <f>DATE(YEAR(CR58),MONTH(CR58)+3,DAY(CR58))</f>
        <v>43682</v>
      </c>
      <c r="CX58" s="612">
        <f t="shared" si="270"/>
        <v>43682</v>
      </c>
      <c r="CY58" s="753"/>
      <c r="CZ58" s="122"/>
      <c r="DA58" s="125"/>
      <c r="DB58" s="125"/>
      <c r="DC58" s="125"/>
      <c r="DD58" s="125"/>
      <c r="DE58" s="125"/>
      <c r="DF58" s="56"/>
      <c r="DG58" s="296">
        <f t="shared" si="225"/>
        <v>43956</v>
      </c>
      <c r="DH58" s="56"/>
      <c r="DI58" s="56"/>
      <c r="DJ58" s="56"/>
      <c r="DK58" s="56"/>
      <c r="DL58" s="56"/>
      <c r="DM58" s="56"/>
      <c r="DN58" s="56"/>
      <c r="DO58" s="56"/>
      <c r="DP58" s="56"/>
      <c r="DQ58" s="56"/>
      <c r="DR58" s="56"/>
      <c r="DS58" s="56"/>
      <c r="DT58" s="126">
        <v>42296</v>
      </c>
      <c r="DU58" s="126">
        <v>42307</v>
      </c>
      <c r="DV58" s="126">
        <v>42296</v>
      </c>
      <c r="DW58" s="691">
        <f t="shared" si="226"/>
        <v>-11</v>
      </c>
      <c r="DX58" s="126">
        <v>42412</v>
      </c>
      <c r="DY58" s="126">
        <v>42412</v>
      </c>
      <c r="DZ58" s="691">
        <f t="shared" si="227"/>
        <v>0</v>
      </c>
      <c r="EA58" s="126">
        <v>42458</v>
      </c>
      <c r="EB58" s="126">
        <v>42593</v>
      </c>
      <c r="EC58" s="691">
        <f t="shared" si="228"/>
        <v>135</v>
      </c>
      <c r="ED58" s="126">
        <v>42655</v>
      </c>
      <c r="EE58" s="126">
        <v>42683</v>
      </c>
      <c r="EF58" s="691">
        <f t="shared" si="229"/>
        <v>28</v>
      </c>
      <c r="EG58" s="126">
        <v>42779</v>
      </c>
      <c r="EH58" s="126">
        <v>42892</v>
      </c>
      <c r="EI58" s="721">
        <f t="shared" si="230"/>
        <v>113</v>
      </c>
      <c r="EJ58" s="126">
        <v>43123</v>
      </c>
      <c r="EK58" s="340">
        <v>43140</v>
      </c>
      <c r="EL58" s="126">
        <v>43160</v>
      </c>
      <c r="EM58" s="721">
        <f t="shared" si="231"/>
        <v>20</v>
      </c>
      <c r="EN58" s="340">
        <v>43154</v>
      </c>
      <c r="EO58" s="126">
        <v>43164</v>
      </c>
      <c r="EP58" s="691">
        <f t="shared" si="232"/>
        <v>10</v>
      </c>
      <c r="EQ58" s="695"/>
      <c r="ER58" s="701">
        <f t="shared" ca="1" si="233"/>
        <v>43188</v>
      </c>
      <c r="ES58" s="697" t="str">
        <f t="shared" ca="1" si="234"/>
        <v>0</v>
      </c>
      <c r="ET58" s="695"/>
      <c r="EU58" s="722">
        <f t="shared" ca="1" si="235"/>
        <v>43188</v>
      </c>
      <c r="EV58" s="698" t="str">
        <f t="shared" ca="1" si="236"/>
        <v>0</v>
      </c>
      <c r="EW58" s="701"/>
      <c r="EX58" s="701">
        <f t="shared" ca="1" si="237"/>
        <v>43188</v>
      </c>
      <c r="EY58" s="697" t="str">
        <f t="shared" ca="1" si="238"/>
        <v>0</v>
      </c>
      <c r="EZ58" s="701"/>
      <c r="FA58" s="701">
        <f t="shared" ca="1" si="239"/>
        <v>43188</v>
      </c>
      <c r="FB58" s="697" t="str">
        <f t="shared" ca="1" si="240"/>
        <v>0</v>
      </c>
      <c r="FC58" s="708"/>
      <c r="FD58" s="708"/>
      <c r="FE58" s="697" t="str">
        <f t="shared" si="242"/>
        <v>0</v>
      </c>
      <c r="FF58" s="739"/>
      <c r="FG58" s="701"/>
      <c r="FH58" s="697" t="str">
        <f t="shared" si="244"/>
        <v>0</v>
      </c>
      <c r="FI58" s="701"/>
      <c r="FJ58" s="701"/>
      <c r="FK58" s="697" t="str">
        <f t="shared" si="246"/>
        <v>0</v>
      </c>
      <c r="FL58" s="701"/>
      <c r="FM58" s="701"/>
      <c r="FN58" s="701"/>
      <c r="FO58" s="701">
        <v>43590</v>
      </c>
      <c r="FP58" s="701">
        <f t="shared" si="247"/>
        <v>43590</v>
      </c>
      <c r="FQ58" s="699">
        <v>16.166666666666668</v>
      </c>
      <c r="FR58" s="701">
        <v>43621</v>
      </c>
      <c r="FS58" s="701">
        <f t="shared" si="249"/>
        <v>43682</v>
      </c>
      <c r="FT58" s="727">
        <v>0</v>
      </c>
      <c r="FU58" s="727">
        <v>0</v>
      </c>
      <c r="FV58" s="727">
        <v>122000</v>
      </c>
      <c r="FW58" s="727"/>
      <c r="FX58" s="728">
        <f t="shared" si="250"/>
        <v>9.8333333333333339</v>
      </c>
      <c r="FY58" s="728">
        <f t="shared" si="251"/>
        <v>2.0333333333333332</v>
      </c>
      <c r="FZ58" s="724"/>
      <c r="GA58" s="741"/>
      <c r="GB58" s="741" t="s">
        <v>898</v>
      </c>
      <c r="GC58" s="724"/>
      <c r="GD58" s="117"/>
      <c r="GE58" s="117"/>
      <c r="GF58" s="95">
        <f>+GP58+GU58+HB58+HV58</f>
        <v>4867349.3792960932</v>
      </c>
      <c r="GG58" s="70">
        <f>GQ58+GV58+HC58+HV58+HD58+HG58</f>
        <v>5306870</v>
      </c>
      <c r="GH58" s="13">
        <f>GG58-GF58</f>
        <v>439520.62070390675</v>
      </c>
      <c r="GI58" s="52">
        <f>GG58/AI58</f>
        <v>2291.0454494630135</v>
      </c>
      <c r="GJ58" s="52">
        <f>GG58/AD58</f>
        <v>151624.85714285713</v>
      </c>
      <c r="GK58" s="95">
        <v>4254582.75</v>
      </c>
      <c r="GL58" s="70">
        <v>4784510</v>
      </c>
      <c r="GM58" s="13">
        <f>GL58-GK58</f>
        <v>529927.25</v>
      </c>
      <c r="GN58" s="135">
        <f>GL58*1.021/GG58</f>
        <v>0.9205020492305257</v>
      </c>
      <c r="GO58" s="137">
        <v>0.4</v>
      </c>
      <c r="GP58" s="95">
        <v>1361329.3792960932</v>
      </c>
      <c r="GQ58" s="917">
        <v>1576411</v>
      </c>
      <c r="GR58" s="925">
        <v>1629529</v>
      </c>
      <c r="GS58" s="22">
        <f>GQ58/AD58</f>
        <v>45040.314285714288</v>
      </c>
      <c r="GT58" s="38">
        <f t="shared" si="258"/>
        <v>215081.62070390675</v>
      </c>
      <c r="GU58" s="11">
        <v>2561020</v>
      </c>
      <c r="GV58" s="614">
        <f>GW58+GX58</f>
        <v>2760459</v>
      </c>
      <c r="GW58" s="792">
        <v>738771</v>
      </c>
      <c r="GX58" s="792">
        <v>2021688</v>
      </c>
      <c r="GY58" s="38">
        <f>GV58-GU58</f>
        <v>199439</v>
      </c>
      <c r="GZ58" s="888">
        <f>GV58/AD58</f>
        <v>78870.257142857139</v>
      </c>
      <c r="HA58" s="70"/>
      <c r="HB58" s="95">
        <v>945000</v>
      </c>
      <c r="HC58" s="12">
        <f>HB58</f>
        <v>945000</v>
      </c>
      <c r="HD58" s="70"/>
      <c r="HE58" s="41">
        <f t="shared" si="260"/>
        <v>0.17807106637245684</v>
      </c>
      <c r="HF58" s="326"/>
      <c r="HG58" s="70">
        <v>25000</v>
      </c>
      <c r="HH58" s="23">
        <f t="shared" si="261"/>
        <v>0</v>
      </c>
      <c r="HI58" s="22">
        <f t="shared" si="262"/>
        <v>27000</v>
      </c>
      <c r="HJ58" s="84">
        <f t="shared" si="263"/>
        <v>72040.314285714281</v>
      </c>
      <c r="HK58" s="23">
        <f t="shared" si="264"/>
        <v>0</v>
      </c>
      <c r="HL58" s="92">
        <v>5.57</v>
      </c>
      <c r="HM58" s="92">
        <v>5.54</v>
      </c>
      <c r="HN58" s="40"/>
      <c r="HO58" s="40"/>
      <c r="HP58" s="22">
        <f>(GP58+HB58+HO58)/AD58</f>
        <v>65895.125122745521</v>
      </c>
      <c r="HQ58" s="40"/>
      <c r="HR58" s="22">
        <f>(GQ58+HC58+HO58+HQ58)/AD58</f>
        <v>72040.314285714281</v>
      </c>
      <c r="HS58" s="53">
        <f>(GP58+HB58+HO58+HQ58)/(HN58+GF58-HT58)</f>
        <v>0.47383682566662805</v>
      </c>
      <c r="HT58" s="40"/>
      <c r="HU58" s="40"/>
      <c r="HV58" s="12">
        <f t="shared" si="192"/>
        <v>0</v>
      </c>
      <c r="HW58" s="42">
        <f>GG58+HN58</f>
        <v>5306870</v>
      </c>
      <c r="HX58" s="293">
        <v>265262</v>
      </c>
      <c r="HY58" s="293">
        <f t="shared" si="269"/>
        <v>145894</v>
      </c>
      <c r="HZ58" s="118">
        <v>42335</v>
      </c>
      <c r="IA58" s="243">
        <v>26176</v>
      </c>
      <c r="IB58" s="243"/>
      <c r="IC58" s="118"/>
      <c r="ID58" s="118">
        <v>42501</v>
      </c>
      <c r="IE58" s="243">
        <v>17712</v>
      </c>
      <c r="IF58" s="118">
        <v>42430</v>
      </c>
      <c r="IG58" s="243">
        <v>20368</v>
      </c>
      <c r="IH58" s="118">
        <v>42670</v>
      </c>
      <c r="II58" s="243">
        <v>25703</v>
      </c>
      <c r="IJ58" s="119" t="s">
        <v>602</v>
      </c>
      <c r="IK58" s="403">
        <v>38553</v>
      </c>
      <c r="IL58" s="338"/>
      <c r="IM58" s="338"/>
      <c r="IN58" s="126">
        <v>43083</v>
      </c>
      <c r="IO58" s="243">
        <v>17382</v>
      </c>
      <c r="IP58" s="292"/>
      <c r="IQ58" s="297"/>
      <c r="IR58" s="324"/>
      <c r="IS58" s="324"/>
      <c r="IT58" s="324"/>
      <c r="IU58" s="324"/>
      <c r="IV58" s="250">
        <v>42822</v>
      </c>
      <c r="IW58" s="309"/>
      <c r="IX58" s="286"/>
      <c r="IY58" s="286"/>
      <c r="IZ58" s="286"/>
      <c r="JA58" s="286"/>
      <c r="JB58" s="243">
        <v>20368</v>
      </c>
      <c r="JC58" s="340"/>
      <c r="JD58" s="119"/>
      <c r="JE58" s="340"/>
      <c r="JF58" s="340"/>
      <c r="JG58" s="119"/>
    </row>
    <row r="59" spans="1:267" ht="24.95" customHeight="1">
      <c r="A59" s="930" t="s">
        <v>365</v>
      </c>
      <c r="B59" s="56" t="s">
        <v>82</v>
      </c>
      <c r="C59" s="56" t="s">
        <v>115</v>
      </c>
      <c r="D59" s="56">
        <v>2016</v>
      </c>
      <c r="E59" s="56" t="s">
        <v>298</v>
      </c>
      <c r="F59" s="56" t="s">
        <v>30</v>
      </c>
      <c r="G59" s="56" t="s">
        <v>292</v>
      </c>
      <c r="H59" s="56" t="s">
        <v>179</v>
      </c>
      <c r="I59" s="56"/>
      <c r="J59" s="56" t="s">
        <v>373</v>
      </c>
      <c r="K59" s="272" t="s">
        <v>746</v>
      </c>
      <c r="L59" s="176"/>
      <c r="M59" s="177"/>
      <c r="N59" s="178"/>
      <c r="O59" s="217">
        <v>5130</v>
      </c>
      <c r="P59" s="217">
        <v>425624</v>
      </c>
      <c r="Q59" s="217">
        <v>271768</v>
      </c>
      <c r="R59" s="217">
        <f>P59/AD59</f>
        <v>15200.857142857143</v>
      </c>
      <c r="S59" s="217">
        <f>P59/O59</f>
        <v>82.967641325536064</v>
      </c>
      <c r="T59" s="223">
        <f>Q59/O59</f>
        <v>52.976218323586743</v>
      </c>
      <c r="U59" s="223">
        <f>Q59/AJ59</f>
        <v>144.10749415389185</v>
      </c>
      <c r="V59" s="223">
        <f>Q59/AD59</f>
        <v>9706</v>
      </c>
      <c r="W59" s="217">
        <f>O59/AD59</f>
        <v>183.21428571428572</v>
      </c>
      <c r="X59" s="218"/>
      <c r="Y59" s="226">
        <f t="shared" si="208"/>
        <v>0.36761598440545806</v>
      </c>
      <c r="Z59" s="218" t="s">
        <v>215</v>
      </c>
      <c r="AA59" s="218">
        <v>675</v>
      </c>
      <c r="AB59" s="219"/>
      <c r="AC59" s="56" t="s">
        <v>16</v>
      </c>
      <c r="AD59" s="342">
        <f t="shared" si="209"/>
        <v>28</v>
      </c>
      <c r="AE59" s="67"/>
      <c r="AF59" s="56">
        <v>28</v>
      </c>
      <c r="AG59" s="56"/>
      <c r="AH59" s="8"/>
      <c r="AI59" s="60">
        <v>1812.35</v>
      </c>
      <c r="AJ59" s="237">
        <v>1885.87</v>
      </c>
      <c r="AK59" s="60">
        <f>AJ59/AD59</f>
        <v>67.352499999999992</v>
      </c>
      <c r="AL59" s="81">
        <f>4/AD59</f>
        <v>0.14285714285714285</v>
      </c>
      <c r="AM59" s="81">
        <f>7/AD59</f>
        <v>0.25</v>
      </c>
      <c r="AN59" s="81">
        <f>10/AD59</f>
        <v>0.35714285714285715</v>
      </c>
      <c r="AO59" s="81">
        <f>7/AD59</f>
        <v>0.25</v>
      </c>
      <c r="AP59" s="81"/>
      <c r="AQ59" s="60"/>
      <c r="AR59" s="79"/>
      <c r="AS59" s="81"/>
      <c r="AT59" s="60">
        <v>2.5</v>
      </c>
      <c r="AU59" s="59" t="s">
        <v>626</v>
      </c>
      <c r="AV59" s="56"/>
      <c r="AW59" s="250">
        <v>42488</v>
      </c>
      <c r="AX59" s="250">
        <v>42475</v>
      </c>
      <c r="AY59" s="114"/>
      <c r="AZ59" s="114"/>
      <c r="BA59" s="99"/>
      <c r="BB59" s="214">
        <v>42604</v>
      </c>
      <c r="BC59" s="101">
        <v>42646</v>
      </c>
      <c r="BD59" s="101"/>
      <c r="BE59" s="214"/>
      <c r="BF59" s="101"/>
      <c r="BG59" s="170">
        <v>42877</v>
      </c>
      <c r="BH59" s="213">
        <v>42929</v>
      </c>
      <c r="BI59" s="170">
        <v>43013</v>
      </c>
      <c r="BJ59" s="170">
        <v>42942</v>
      </c>
      <c r="BK59" s="320">
        <f>BI59</f>
        <v>43013</v>
      </c>
      <c r="BL59" s="319">
        <f t="shared" si="210"/>
        <v>43743</v>
      </c>
      <c r="BM59" s="319">
        <f t="shared" si="211"/>
        <v>44109</v>
      </c>
      <c r="BN59" s="319" t="str">
        <f>IF(CX59&gt;BL59,"oui","non")</f>
        <v>non</v>
      </c>
      <c r="BO59" s="169">
        <v>42920</v>
      </c>
      <c r="BP59" s="115" t="s">
        <v>718</v>
      </c>
      <c r="BQ59" s="102">
        <v>43026</v>
      </c>
      <c r="BR59" s="103"/>
      <c r="BS59" s="103"/>
      <c r="BT59" s="103"/>
      <c r="BU59" s="168"/>
      <c r="BV59" s="172"/>
      <c r="BW59" s="266"/>
      <c r="BX59" s="167"/>
      <c r="BY59" s="172">
        <f>DATE(YEAR(BV59),MONTH(BV59)+18,DAY(BV59))</f>
        <v>547</v>
      </c>
      <c r="BZ59" s="266"/>
      <c r="CA59" s="266"/>
      <c r="CB59" s="266" t="s">
        <v>172</v>
      </c>
      <c r="CC59" s="781"/>
      <c r="CD59" s="615"/>
      <c r="CE59" s="452">
        <v>43164</v>
      </c>
      <c r="CF59" s="445"/>
      <c r="CG59" s="600">
        <f t="shared" si="213"/>
        <v>18.666666666666668</v>
      </c>
      <c r="CH59" s="260">
        <v>16</v>
      </c>
      <c r="CI59" s="260">
        <f t="shared" si="214"/>
        <v>17</v>
      </c>
      <c r="CJ59" s="255">
        <f t="shared" si="215"/>
        <v>16</v>
      </c>
      <c r="CK59" s="255">
        <f t="shared" si="216"/>
        <v>17</v>
      </c>
      <c r="CL59" s="255">
        <f t="shared" si="217"/>
        <v>0</v>
      </c>
      <c r="CM59" s="255">
        <f t="shared" si="218"/>
        <v>0</v>
      </c>
      <c r="CN59" s="261"/>
      <c r="CO59" s="261">
        <f t="shared" si="219"/>
        <v>0</v>
      </c>
      <c r="CP59" s="256"/>
      <c r="CQ59" s="797">
        <f t="shared" si="220"/>
        <v>43651</v>
      </c>
      <c r="CR59" s="454">
        <f>DATE(YEAR(CE59),MONTH(CE59)+CH59,DAY(CE59))</f>
        <v>43651</v>
      </c>
      <c r="CS59" s="752">
        <f t="shared" si="222"/>
        <v>731</v>
      </c>
      <c r="CT59" s="256"/>
      <c r="CU59" s="883" t="e">
        <f t="shared" si="223"/>
        <v>#NUM!</v>
      </c>
      <c r="CV59" s="256"/>
      <c r="CW59" s="749">
        <f>DATE(YEAR(CR59),MONTH(CR59)+1,DAY(CR59))</f>
        <v>43682</v>
      </c>
      <c r="CX59" s="612">
        <f t="shared" si="270"/>
        <v>43682</v>
      </c>
      <c r="CY59" s="753"/>
      <c r="CZ59" s="122"/>
      <c r="DA59" s="125"/>
      <c r="DB59" s="125"/>
      <c r="DC59" s="125"/>
      <c r="DD59" s="125"/>
      <c r="DE59" s="125"/>
      <c r="DF59" s="56"/>
      <c r="DG59" s="296">
        <f t="shared" si="225"/>
        <v>44017</v>
      </c>
      <c r="DH59" s="56"/>
      <c r="DI59" s="56"/>
      <c r="DJ59" s="56"/>
      <c r="DK59" s="56"/>
      <c r="DL59" s="56"/>
      <c r="DM59" s="56"/>
      <c r="DN59" s="56"/>
      <c r="DO59" s="56"/>
      <c r="DP59" s="56"/>
      <c r="DQ59" s="56"/>
      <c r="DR59" s="56"/>
      <c r="DS59" s="56"/>
      <c r="DT59" s="126">
        <v>42327</v>
      </c>
      <c r="DU59" s="126">
        <v>42353</v>
      </c>
      <c r="DV59" s="126">
        <v>42327</v>
      </c>
      <c r="DW59" s="691">
        <f t="shared" si="226"/>
        <v>-26</v>
      </c>
      <c r="DX59" s="126">
        <v>42412</v>
      </c>
      <c r="DY59" s="126">
        <v>42412</v>
      </c>
      <c r="DZ59" s="691">
        <f t="shared" si="227"/>
        <v>0</v>
      </c>
      <c r="EA59" s="126">
        <v>42436</v>
      </c>
      <c r="EB59" s="126">
        <v>42439</v>
      </c>
      <c r="EC59" s="691">
        <f t="shared" si="228"/>
        <v>3</v>
      </c>
      <c r="ED59" s="126">
        <v>42472</v>
      </c>
      <c r="EE59" s="126">
        <v>42633</v>
      </c>
      <c r="EF59" s="691">
        <f t="shared" si="229"/>
        <v>161</v>
      </c>
      <c r="EG59" s="126">
        <v>42692</v>
      </c>
      <c r="EH59" s="126">
        <v>42845</v>
      </c>
      <c r="EI59" s="721">
        <f t="shared" si="230"/>
        <v>153</v>
      </c>
      <c r="EJ59" s="340">
        <v>43074</v>
      </c>
      <c r="EK59" s="706">
        <v>43137</v>
      </c>
      <c r="EL59" s="706">
        <f ca="1">IF(EK59&lt;TODAY(),TODAY(),EK59)</f>
        <v>43188</v>
      </c>
      <c r="EM59" s="697">
        <f t="shared" ca="1" si="231"/>
        <v>51</v>
      </c>
      <c r="EN59" s="706">
        <v>43152</v>
      </c>
      <c r="EO59" s="706">
        <f ca="1">IF(EN59&lt;TODAY(),TODAY(),EN59)</f>
        <v>43188</v>
      </c>
      <c r="EP59" s="697">
        <f t="shared" ca="1" si="232"/>
        <v>36</v>
      </c>
      <c r="EQ59" s="706"/>
      <c r="ER59" s="701">
        <f t="shared" ca="1" si="233"/>
        <v>43188</v>
      </c>
      <c r="ES59" s="697" t="str">
        <f t="shared" ca="1" si="234"/>
        <v>0</v>
      </c>
      <c r="ET59" s="695"/>
      <c r="EU59" s="722">
        <f t="shared" ca="1" si="235"/>
        <v>43188</v>
      </c>
      <c r="EV59" s="698" t="str">
        <f t="shared" ca="1" si="236"/>
        <v>0</v>
      </c>
      <c r="EW59" s="701"/>
      <c r="EX59" s="701">
        <f t="shared" ca="1" si="237"/>
        <v>43188</v>
      </c>
      <c r="EY59" s="697" t="str">
        <f t="shared" ca="1" si="238"/>
        <v>0</v>
      </c>
      <c r="EZ59" s="706"/>
      <c r="FA59" s="701">
        <f t="shared" ca="1" si="239"/>
        <v>43188</v>
      </c>
      <c r="FB59" s="697" t="str">
        <f t="shared" ca="1" si="240"/>
        <v>0</v>
      </c>
      <c r="FC59" s="703"/>
      <c r="FD59" s="703"/>
      <c r="FE59" s="697" t="str">
        <f t="shared" si="242"/>
        <v>0</v>
      </c>
      <c r="FF59" s="701"/>
      <c r="FG59" s="701"/>
      <c r="FH59" s="697" t="str">
        <f t="shared" si="244"/>
        <v>0</v>
      </c>
      <c r="FI59" s="701"/>
      <c r="FJ59" s="701"/>
      <c r="FK59" s="697" t="str">
        <f t="shared" si="246"/>
        <v>0</v>
      </c>
      <c r="FL59" s="701"/>
      <c r="FM59" s="701"/>
      <c r="FN59" s="701"/>
      <c r="FO59" s="701">
        <v>43692</v>
      </c>
      <c r="FP59" s="701">
        <f t="shared" si="247"/>
        <v>43651</v>
      </c>
      <c r="FQ59" s="699">
        <v>18</v>
      </c>
      <c r="FR59" s="701">
        <v>43721</v>
      </c>
      <c r="FS59" s="701">
        <f t="shared" si="249"/>
        <v>43682</v>
      </c>
      <c r="FT59" s="727">
        <v>28875</v>
      </c>
      <c r="FU59" s="727">
        <v>28875</v>
      </c>
      <c r="FV59" s="727"/>
      <c r="FW59" s="727"/>
      <c r="FX59" s="728">
        <f t="shared" ca="1" si="250"/>
        <v>12.6</v>
      </c>
      <c r="FY59" s="728">
        <f t="shared" si="251"/>
        <v>-1.3</v>
      </c>
      <c r="FZ59" s="724"/>
      <c r="GA59" s="741"/>
      <c r="GB59" s="741" t="s">
        <v>854</v>
      </c>
      <c r="GC59" s="724"/>
      <c r="GD59" s="117"/>
      <c r="GE59" s="117"/>
      <c r="GF59" s="95">
        <f>+GP59+GU59+HB59+HV59</f>
        <v>3930063</v>
      </c>
      <c r="GG59" s="70">
        <f>GQ59+GV59+HC59+HV59+HD59+HG59</f>
        <v>4025540</v>
      </c>
      <c r="GH59" s="11">
        <f>GG59-GF59</f>
        <v>95477</v>
      </c>
      <c r="GI59" s="52">
        <f>GG59/AI59</f>
        <v>2221.171407288879</v>
      </c>
      <c r="GJ59" s="52">
        <f>GG59/AD59</f>
        <v>143769.28571428571</v>
      </c>
      <c r="GK59" s="95">
        <v>3532430.6948800003</v>
      </c>
      <c r="GL59" s="95">
        <v>3790547.2600000002</v>
      </c>
      <c r="GM59" s="95">
        <f>GL59-GK59</f>
        <v>258116.56511999993</v>
      </c>
      <c r="GN59" s="95">
        <f>GL59*1.021/GG59</f>
        <v>0.961398657685677</v>
      </c>
      <c r="GO59" s="326">
        <v>0.4</v>
      </c>
      <c r="GP59" s="95">
        <v>1168119</v>
      </c>
      <c r="GQ59" s="917">
        <v>1235083</v>
      </c>
      <c r="GR59" s="925">
        <v>1263947</v>
      </c>
      <c r="GS59" s="95">
        <f>GQ59/AD59</f>
        <v>44110.107142857145</v>
      </c>
      <c r="GT59" s="95">
        <f t="shared" si="258"/>
        <v>66964</v>
      </c>
      <c r="GU59" s="326">
        <f>1677074+399995</f>
        <v>2077069</v>
      </c>
      <c r="GV59" s="614">
        <f>GW59+GX59</f>
        <v>2105582</v>
      </c>
      <c r="GW59" s="792">
        <v>405627</v>
      </c>
      <c r="GX59" s="792">
        <v>1699955</v>
      </c>
      <c r="GY59" s="70">
        <f>GV59-GU59</f>
        <v>28513</v>
      </c>
      <c r="GZ59" s="12">
        <f>GV59/AD59</f>
        <v>75199.357142857145</v>
      </c>
      <c r="HA59" s="614"/>
      <c r="HB59" s="792">
        <v>656000</v>
      </c>
      <c r="HC59" s="928">
        <v>656000</v>
      </c>
      <c r="HD59" s="70"/>
      <c r="HE59" s="12">
        <f t="shared" si="260"/>
        <v>0.16295950356970743</v>
      </c>
      <c r="HF59" s="95"/>
      <c r="HG59" s="70"/>
      <c r="HH59" s="91">
        <f t="shared" si="261"/>
        <v>0</v>
      </c>
      <c r="HI59" s="22">
        <f t="shared" si="262"/>
        <v>23428.571428571428</v>
      </c>
      <c r="HJ59" s="84">
        <f t="shared" si="263"/>
        <v>67538.678571428565</v>
      </c>
      <c r="HK59" s="91">
        <f t="shared" si="264"/>
        <v>0</v>
      </c>
      <c r="HL59" s="92">
        <v>5.54</v>
      </c>
      <c r="HM59" s="92"/>
      <c r="HN59" s="93">
        <v>878080.00034999999</v>
      </c>
      <c r="HO59" s="93">
        <v>560000</v>
      </c>
      <c r="HP59" s="52">
        <f>(GP59+HB59+HO59)/AD59</f>
        <v>85147.107142857145</v>
      </c>
      <c r="HQ59" s="93">
        <v>84831.933350000065</v>
      </c>
      <c r="HR59" s="52">
        <f>(GQ59+HC59+HO59+HQ59)/AD59</f>
        <v>90568.390476785717</v>
      </c>
      <c r="HS59" s="53">
        <f>(GP59+HB59+HO59+HQ59)/(HN59+GF59-HT59)</f>
        <v>0.53501722277479524</v>
      </c>
      <c r="HT59" s="93">
        <v>193430</v>
      </c>
      <c r="HU59" s="93"/>
      <c r="HV59" s="70">
        <f t="shared" si="192"/>
        <v>28875</v>
      </c>
      <c r="HW59" s="42">
        <f>GF59+HN59</f>
        <v>4808143.0003500003</v>
      </c>
      <c r="HX59" s="293">
        <v>195171</v>
      </c>
      <c r="HY59" s="293">
        <f t="shared" si="269"/>
        <v>107344</v>
      </c>
      <c r="HZ59" s="118">
        <v>42333</v>
      </c>
      <c r="IA59" s="243">
        <v>23317</v>
      </c>
      <c r="IB59" s="243"/>
      <c r="IC59" s="118"/>
      <c r="ID59" s="118"/>
      <c r="IE59" s="243"/>
      <c r="IF59" s="118">
        <v>42429</v>
      </c>
      <c r="IG59" s="243">
        <v>23306</v>
      </c>
      <c r="IH59" s="118">
        <v>42657</v>
      </c>
      <c r="II59" s="243">
        <v>23065</v>
      </c>
      <c r="IJ59" s="119" t="s">
        <v>590</v>
      </c>
      <c r="IK59" s="403">
        <v>29869</v>
      </c>
      <c r="IL59" s="338"/>
      <c r="IM59" s="338"/>
      <c r="IN59" s="340">
        <v>43090</v>
      </c>
      <c r="IO59" s="339">
        <v>7787</v>
      </c>
      <c r="IP59" s="292"/>
      <c r="IQ59" s="297"/>
      <c r="IR59" s="323"/>
      <c r="IS59" s="323"/>
      <c r="IT59" s="323"/>
      <c r="IU59" s="323"/>
      <c r="IV59" s="286"/>
      <c r="IW59" s="286"/>
      <c r="IX59" s="286"/>
      <c r="IY59" s="286"/>
      <c r="IZ59" s="286"/>
      <c r="JA59" s="286"/>
      <c r="JB59" s="243">
        <v>23306</v>
      </c>
      <c r="JC59" s="126"/>
      <c r="JD59" s="119"/>
      <c r="JE59" s="126"/>
      <c r="JF59" s="126"/>
      <c r="JG59" s="119"/>
    </row>
    <row r="60" spans="1:267" ht="24.95" customHeight="1">
      <c r="A60" s="899" t="s">
        <v>697</v>
      </c>
      <c r="B60" s="56" t="s">
        <v>103</v>
      </c>
      <c r="C60" s="56" t="s">
        <v>115</v>
      </c>
      <c r="D60" s="56">
        <v>2017</v>
      </c>
      <c r="E60" s="56" t="s">
        <v>621</v>
      </c>
      <c r="F60" s="56" t="s">
        <v>423</v>
      </c>
      <c r="G60" s="56" t="s">
        <v>725</v>
      </c>
      <c r="H60" s="56" t="s">
        <v>177</v>
      </c>
      <c r="I60" s="56"/>
      <c r="J60" s="56" t="s">
        <v>481</v>
      </c>
      <c r="K60" s="272"/>
      <c r="L60" s="176"/>
      <c r="M60" s="177"/>
      <c r="N60" s="178"/>
      <c r="O60" s="217">
        <v>3474</v>
      </c>
      <c r="P60" s="217">
        <v>1</v>
      </c>
      <c r="Q60" s="217"/>
      <c r="R60" s="217">
        <f>P60/AD60</f>
        <v>5.0000000000000001E-3</v>
      </c>
      <c r="S60" s="217">
        <f>P60/O60</f>
        <v>2.878526194588371E-4</v>
      </c>
      <c r="T60" s="223">
        <f>Q60/O60</f>
        <v>0</v>
      </c>
      <c r="U60" s="223">
        <f>Q60/AJ60</f>
        <v>0</v>
      </c>
      <c r="V60" s="223">
        <f>Q60/AD60</f>
        <v>0</v>
      </c>
      <c r="W60" s="217">
        <f>O60/AD60</f>
        <v>17.37</v>
      </c>
      <c r="X60" s="218"/>
      <c r="Y60" s="219">
        <f t="shared" si="208"/>
        <v>1.166076568796776</v>
      </c>
      <c r="Z60" s="218"/>
      <c r="AA60" s="218">
        <v>70</v>
      </c>
      <c r="AB60" s="219"/>
      <c r="AC60" s="56" t="s">
        <v>480</v>
      </c>
      <c r="AD60" s="342">
        <f t="shared" si="209"/>
        <v>200</v>
      </c>
      <c r="AE60" s="67"/>
      <c r="AF60" s="119"/>
      <c r="AG60" s="56">
        <v>200</v>
      </c>
      <c r="AH60" s="850"/>
      <c r="AI60" s="60">
        <v>4327.3599999999997</v>
      </c>
      <c r="AJ60" s="237">
        <v>4050.95</v>
      </c>
      <c r="AK60" s="60" t="s">
        <v>648</v>
      </c>
      <c r="AL60" s="81"/>
      <c r="AM60" s="81"/>
      <c r="AN60" s="81"/>
      <c r="AO60" s="81"/>
      <c r="AP60" s="81"/>
      <c r="AQ60" s="60"/>
      <c r="AR60" s="192"/>
      <c r="AS60" s="111"/>
      <c r="AT60" s="60"/>
      <c r="AU60" s="59" t="s">
        <v>626</v>
      </c>
      <c r="AV60" s="56" t="s">
        <v>121</v>
      </c>
      <c r="AW60" s="56"/>
      <c r="AX60" s="56"/>
      <c r="AY60" s="114"/>
      <c r="AZ60" s="114"/>
      <c r="BA60" s="99"/>
      <c r="BB60" s="214">
        <v>43024</v>
      </c>
      <c r="BC60" s="101"/>
      <c r="BD60" s="101"/>
      <c r="BE60" s="214"/>
      <c r="BF60" s="101"/>
      <c r="BG60" s="170"/>
      <c r="BH60" s="213"/>
      <c r="BI60" s="170"/>
      <c r="BJ60" s="170"/>
      <c r="BK60" s="102"/>
      <c r="BL60" s="198">
        <f t="shared" si="210"/>
        <v>731</v>
      </c>
      <c r="BM60" s="198">
        <f t="shared" si="211"/>
        <v>1096</v>
      </c>
      <c r="BN60" s="198"/>
      <c r="BO60" s="170"/>
      <c r="BP60" s="175"/>
      <c r="BQ60" s="102"/>
      <c r="BR60" s="103"/>
      <c r="BS60" s="103"/>
      <c r="BT60" s="103"/>
      <c r="BU60" s="168"/>
      <c r="BV60" s="760">
        <v>43182</v>
      </c>
      <c r="BW60" s="266"/>
      <c r="BX60" s="167"/>
      <c r="BY60" s="172"/>
      <c r="BZ60" s="266"/>
      <c r="CA60" s="266"/>
      <c r="CB60" s="266">
        <v>43693</v>
      </c>
      <c r="CC60" s="780">
        <f>(CX60-CB60)/30</f>
        <v>0</v>
      </c>
      <c r="CD60" s="615"/>
      <c r="CE60" s="598">
        <v>43091</v>
      </c>
      <c r="CF60" s="599">
        <v>2017</v>
      </c>
      <c r="CG60" s="605">
        <f t="shared" si="213"/>
        <v>2.2333333333333334</v>
      </c>
      <c r="CH60" s="270">
        <v>18</v>
      </c>
      <c r="CI60" s="270">
        <f t="shared" si="214"/>
        <v>19</v>
      </c>
      <c r="CJ60" s="255">
        <f t="shared" si="215"/>
        <v>18</v>
      </c>
      <c r="CK60" s="255">
        <f t="shared" si="216"/>
        <v>19</v>
      </c>
      <c r="CL60" s="255">
        <f t="shared" si="217"/>
        <v>0</v>
      </c>
      <c r="CM60" s="255">
        <f t="shared" si="218"/>
        <v>0</v>
      </c>
      <c r="CN60" s="261"/>
      <c r="CO60" s="261">
        <f t="shared" si="219"/>
        <v>0</v>
      </c>
      <c r="CP60" s="256"/>
      <c r="CQ60" s="797">
        <f t="shared" si="220"/>
        <v>43638</v>
      </c>
      <c r="CR60" s="513">
        <f>DATE(YEAR(CE60),MONTH(CE60)+CH60,DAY(CE60))</f>
        <v>43638</v>
      </c>
      <c r="CS60" s="752">
        <f t="shared" si="222"/>
        <v>731</v>
      </c>
      <c r="CT60" s="256"/>
      <c r="CU60" s="883" t="e">
        <f t="shared" si="223"/>
        <v>#NUM!</v>
      </c>
      <c r="CV60" s="256"/>
      <c r="CW60" s="749">
        <f>DATE(YEAR(CR60),MONTH(CR60)+1,DAY(CR60))</f>
        <v>43668</v>
      </c>
      <c r="CX60" s="612">
        <v>43693</v>
      </c>
      <c r="CY60" s="753"/>
      <c r="CZ60" s="122"/>
      <c r="DA60" s="125"/>
      <c r="DB60" s="125"/>
      <c r="DC60" s="125"/>
      <c r="DD60" s="125"/>
      <c r="DE60" s="125"/>
      <c r="DF60" s="56"/>
      <c r="DG60" s="296">
        <f t="shared" si="225"/>
        <v>44004</v>
      </c>
      <c r="DH60" s="56"/>
      <c r="DI60" s="56"/>
      <c r="DJ60" s="56"/>
      <c r="DK60" s="56"/>
      <c r="DL60" s="56"/>
      <c r="DM60" s="56"/>
      <c r="DN60" s="56"/>
      <c r="DO60" s="56"/>
      <c r="DP60" s="56"/>
      <c r="DQ60" s="56"/>
      <c r="DR60" s="56"/>
      <c r="DS60" s="56"/>
      <c r="DT60" s="592"/>
      <c r="DU60" s="126"/>
      <c r="DV60" s="126"/>
      <c r="DW60" s="691" t="str">
        <f t="shared" si="226"/>
        <v>0</v>
      </c>
      <c r="DX60" s="126">
        <v>42772</v>
      </c>
      <c r="DY60" s="126">
        <v>42871</v>
      </c>
      <c r="DZ60" s="691">
        <f t="shared" si="227"/>
        <v>99</v>
      </c>
      <c r="EA60" s="340"/>
      <c r="EB60" s="340"/>
      <c r="EC60" s="691" t="str">
        <f t="shared" si="228"/>
        <v>0</v>
      </c>
      <c r="ED60" s="126"/>
      <c r="EE60" s="126"/>
      <c r="EF60" s="691" t="str">
        <f t="shared" si="229"/>
        <v>0</v>
      </c>
      <c r="EG60" s="126"/>
      <c r="EH60" s="126"/>
      <c r="EI60" s="691" t="str">
        <f t="shared" si="230"/>
        <v>0</v>
      </c>
      <c r="EJ60" s="593"/>
      <c r="EK60" s="340">
        <v>42887</v>
      </c>
      <c r="EL60" s="126">
        <v>43096</v>
      </c>
      <c r="EM60" s="691">
        <f t="shared" si="231"/>
        <v>209</v>
      </c>
      <c r="EN60" s="340">
        <v>42901</v>
      </c>
      <c r="EO60" s="126">
        <v>43091</v>
      </c>
      <c r="EP60" s="691">
        <f t="shared" si="232"/>
        <v>190</v>
      </c>
      <c r="EQ60" s="695"/>
      <c r="ER60" s="701">
        <f t="shared" ca="1" si="233"/>
        <v>43188</v>
      </c>
      <c r="ES60" s="697" t="str">
        <f t="shared" ca="1" si="234"/>
        <v>0</v>
      </c>
      <c r="ET60" s="695"/>
      <c r="EU60" s="722">
        <f t="shared" ca="1" si="235"/>
        <v>43188</v>
      </c>
      <c r="EV60" s="698" t="str">
        <f t="shared" ca="1" si="236"/>
        <v>0</v>
      </c>
      <c r="EW60" s="701"/>
      <c r="EX60" s="701">
        <f t="shared" ca="1" si="237"/>
        <v>43188</v>
      </c>
      <c r="EY60" s="697" t="str">
        <f t="shared" ca="1" si="238"/>
        <v>0</v>
      </c>
      <c r="EZ60" s="701"/>
      <c r="FA60" s="701">
        <f t="shared" ca="1" si="239"/>
        <v>43188</v>
      </c>
      <c r="FB60" s="697" t="str">
        <f t="shared" ca="1" si="240"/>
        <v>0</v>
      </c>
      <c r="FC60" s="701"/>
      <c r="FD60" s="701">
        <f ca="1">IF(FC60&lt;TODAY(),TODAY(),FC60)</f>
        <v>43188</v>
      </c>
      <c r="FE60" s="697" t="str">
        <f t="shared" ca="1" si="242"/>
        <v>0</v>
      </c>
      <c r="FF60" s="701"/>
      <c r="FG60" s="701">
        <f ca="1">IF(FF60&lt;TODAY(),TODAY(),FF60)</f>
        <v>43188</v>
      </c>
      <c r="FH60" s="697" t="str">
        <f t="shared" ca="1" si="244"/>
        <v>0</v>
      </c>
      <c r="FI60" s="701"/>
      <c r="FJ60" s="701">
        <f ca="1">IF(FI60&lt;TODAY(),TODAY(),FI60)</f>
        <v>43188</v>
      </c>
      <c r="FK60" s="697" t="str">
        <f t="shared" ca="1" si="246"/>
        <v>0</v>
      </c>
      <c r="FL60" s="701"/>
      <c r="FM60" s="701"/>
      <c r="FN60" s="701"/>
      <c r="FO60" s="701">
        <v>43693</v>
      </c>
      <c r="FP60" s="701">
        <f t="shared" si="247"/>
        <v>43638</v>
      </c>
      <c r="FQ60" s="699">
        <f>(DATEDIF(EO60,FO60,"d"))/30</f>
        <v>20.066666666666666</v>
      </c>
      <c r="FR60" s="701">
        <v>43696</v>
      </c>
      <c r="FS60" s="701">
        <f t="shared" si="249"/>
        <v>43693</v>
      </c>
      <c r="FT60" s="727">
        <v>0</v>
      </c>
      <c r="FU60" s="727">
        <v>0</v>
      </c>
      <c r="FV60" s="727"/>
      <c r="FW60" s="727"/>
      <c r="FX60" s="728">
        <f t="shared" si="250"/>
        <v>16.600000000000001</v>
      </c>
      <c r="FY60" s="728">
        <f t="shared" si="251"/>
        <v>-0.1</v>
      </c>
      <c r="FZ60" s="724"/>
      <c r="GA60" s="741"/>
      <c r="GB60" s="724"/>
      <c r="GC60" s="724"/>
      <c r="GD60" s="117"/>
      <c r="GE60" s="117"/>
      <c r="GF60" s="304">
        <f>+GP60+GU60+HB60+HV60+HG60</f>
        <v>15377280.710000001</v>
      </c>
      <c r="GG60" s="70">
        <f>GQ60+GV60+HC60+HV60+HD60+HG60</f>
        <v>11616559.710000001</v>
      </c>
      <c r="GH60" s="96">
        <f>GG60-GF60</f>
        <v>-3760721</v>
      </c>
      <c r="GI60" s="52">
        <f>GG60/AI60</f>
        <v>2684.4449525807886</v>
      </c>
      <c r="GJ60" s="52">
        <f>GG60/AD60</f>
        <v>58082.798550000007</v>
      </c>
      <c r="GK60" s="95"/>
      <c r="GL60" s="70"/>
      <c r="GM60" s="96">
        <f>GL60-GK60</f>
        <v>0</v>
      </c>
      <c r="GN60" s="136">
        <f>GL60*1.021/GG60</f>
        <v>0</v>
      </c>
      <c r="GO60" s="136"/>
      <c r="GP60" s="95">
        <v>0</v>
      </c>
      <c r="GQ60" s="917">
        <v>3306813</v>
      </c>
      <c r="GR60" s="925">
        <v>3306813</v>
      </c>
      <c r="GS60" s="920">
        <f>GQ60/AD60</f>
        <v>16534.064999999999</v>
      </c>
      <c r="GT60" s="97">
        <f t="shared" si="258"/>
        <v>3306813</v>
      </c>
      <c r="GU60" s="843">
        <v>10921593</v>
      </c>
      <c r="GV60" s="12">
        <v>5854059</v>
      </c>
      <c r="GW60" s="493"/>
      <c r="GX60" s="493"/>
      <c r="GY60" s="97">
        <f>GV60-GU60</f>
        <v>-5067534</v>
      </c>
      <c r="GZ60" s="889">
        <f>GV60/AD60</f>
        <v>29270.294999999998</v>
      </c>
      <c r="HA60" s="493"/>
      <c r="HB60" s="95">
        <v>2000000</v>
      </c>
      <c r="HC60" s="494"/>
      <c r="HD60" s="70"/>
      <c r="HE60" s="90">
        <f t="shared" si="260"/>
        <v>0</v>
      </c>
      <c r="HF60" s="493"/>
      <c r="HG60" s="70">
        <v>2455687.71</v>
      </c>
      <c r="HH60" s="91">
        <f t="shared" si="261"/>
        <v>-2000000</v>
      </c>
      <c r="HI60" s="22">
        <f t="shared" si="262"/>
        <v>0</v>
      </c>
      <c r="HJ60" s="84">
        <f t="shared" si="263"/>
        <v>16534.064999999999</v>
      </c>
      <c r="HK60" s="91">
        <f t="shared" si="264"/>
        <v>-10000</v>
      </c>
      <c r="HL60" s="92"/>
      <c r="HM60" s="92"/>
      <c r="HN60" s="93"/>
      <c r="HO60" s="93"/>
      <c r="HP60" s="52">
        <f>(GP60+HB60+HO60)/AD60</f>
        <v>10000</v>
      </c>
      <c r="HQ60" s="93"/>
      <c r="HR60" s="52">
        <f>(GQ60+HC60+HO60+HQ60)/AD60</f>
        <v>16534.064999999999</v>
      </c>
      <c r="HS60" s="53">
        <f>(GP60+HB60+HO60+HQ60)/(HN60+GF60-HT60)</f>
        <v>0.13006200756284431</v>
      </c>
      <c r="HT60" s="93"/>
      <c r="HU60" s="93"/>
      <c r="HV60" s="493">
        <f t="shared" si="192"/>
        <v>0</v>
      </c>
      <c r="HW60" s="42">
        <f>GF60+HN60</f>
        <v>15377280.710000001</v>
      </c>
      <c r="HX60" s="293">
        <v>364819</v>
      </c>
      <c r="HY60" s="293">
        <f t="shared" si="269"/>
        <v>182410</v>
      </c>
      <c r="HZ60" s="250"/>
      <c r="IA60" s="413"/>
      <c r="IB60" s="413"/>
      <c r="IC60" s="410"/>
      <c r="ID60" s="410">
        <v>42727</v>
      </c>
      <c r="IE60" s="413">
        <v>51495</v>
      </c>
      <c r="IF60" s="410">
        <v>42895</v>
      </c>
      <c r="IG60" s="414">
        <v>34330</v>
      </c>
      <c r="IH60" s="410">
        <v>43074</v>
      </c>
      <c r="II60" s="414">
        <v>41862</v>
      </c>
      <c r="IJ60" s="309"/>
      <c r="IK60" s="415"/>
      <c r="IL60" s="411"/>
      <c r="IM60" s="411"/>
      <c r="IN60" s="292"/>
      <c r="IO60" s="297"/>
      <c r="IP60" s="340">
        <v>43092</v>
      </c>
      <c r="IQ60" s="339">
        <v>54723</v>
      </c>
      <c r="IR60" s="323"/>
      <c r="IS60" s="323"/>
      <c r="IT60" s="323"/>
      <c r="IU60" s="323"/>
      <c r="IV60" s="286"/>
      <c r="IW60" s="286"/>
      <c r="IX60" s="286"/>
      <c r="IY60" s="286"/>
      <c r="IZ60" s="286"/>
      <c r="JA60" s="286"/>
      <c r="JB60" s="409">
        <v>34330</v>
      </c>
      <c r="JC60" s="122"/>
      <c r="JD60" s="295"/>
      <c r="JE60" s="122"/>
      <c r="JF60" s="122"/>
      <c r="JG60" s="295"/>
    </row>
    <row r="61" spans="1:267" ht="24.95" customHeight="1">
      <c r="A61" s="899" t="s">
        <v>698</v>
      </c>
      <c r="B61" s="56" t="s">
        <v>35</v>
      </c>
      <c r="C61" s="56" t="s">
        <v>113</v>
      </c>
      <c r="D61" s="56">
        <v>2017</v>
      </c>
      <c r="E61" s="56" t="s">
        <v>622</v>
      </c>
      <c r="F61" s="56" t="s">
        <v>423</v>
      </c>
      <c r="G61" s="8" t="s">
        <v>725</v>
      </c>
      <c r="H61" s="56" t="s">
        <v>180</v>
      </c>
      <c r="I61" s="56"/>
      <c r="J61" s="56" t="s">
        <v>482</v>
      </c>
      <c r="K61" s="272"/>
      <c r="L61" s="176"/>
      <c r="M61" s="177"/>
      <c r="N61" s="178"/>
      <c r="O61" s="217">
        <v>1952</v>
      </c>
      <c r="P61" s="217">
        <v>1</v>
      </c>
      <c r="Q61" s="217"/>
      <c r="R61" s="217">
        <f t="shared" ref="R61:R68" si="279">P61/AD61</f>
        <v>0.01</v>
      </c>
      <c r="S61" s="217">
        <f t="shared" ref="S61:S70" si="280">P61/O61</f>
        <v>5.1229508196721314E-4</v>
      </c>
      <c r="T61" s="223">
        <f t="shared" ref="T61:T70" si="281">Q61/O61</f>
        <v>0</v>
      </c>
      <c r="U61" s="223">
        <f t="shared" ref="U61:U70" si="282">Q61/AJ61</f>
        <v>0</v>
      </c>
      <c r="V61" s="223">
        <f t="shared" ref="V61:V70" si="283">Q61/AD61</f>
        <v>0</v>
      </c>
      <c r="W61" s="217">
        <f t="shared" ref="W61:W70" si="284">O61/AD61</f>
        <v>19.52</v>
      </c>
      <c r="X61" s="218"/>
      <c r="Y61" s="219">
        <f t="shared" ref="Y61:Y74" si="285">AJ61/O61</f>
        <v>0.98538422131147541</v>
      </c>
      <c r="Z61" s="218"/>
      <c r="AA61" s="218">
        <v>500</v>
      </c>
      <c r="AB61" s="219"/>
      <c r="AC61" s="56" t="s">
        <v>480</v>
      </c>
      <c r="AD61" s="342">
        <f t="shared" ref="AD61:AD77" si="286">SUM(AE61:AH61)</f>
        <v>100</v>
      </c>
      <c r="AE61" s="67"/>
      <c r="AF61" s="119"/>
      <c r="AG61" s="56">
        <v>100</v>
      </c>
      <c r="AH61" s="850"/>
      <c r="AI61" s="60">
        <v>1868.31</v>
      </c>
      <c r="AJ61" s="237">
        <v>1923.47</v>
      </c>
      <c r="AK61" s="60">
        <f t="shared" ref="AK61:AK66" si="287">AJ61/AD61</f>
        <v>19.2347</v>
      </c>
      <c r="AL61" s="81"/>
      <c r="AM61" s="81"/>
      <c r="AN61" s="81"/>
      <c r="AO61" s="81"/>
      <c r="AP61" s="81"/>
      <c r="AQ61" s="60"/>
      <c r="AR61" s="192"/>
      <c r="AS61" s="111"/>
      <c r="AT61" s="60"/>
      <c r="AU61" s="59" t="s">
        <v>626</v>
      </c>
      <c r="AV61" s="56" t="s">
        <v>121</v>
      </c>
      <c r="AW61" s="56"/>
      <c r="AX61" s="56"/>
      <c r="AY61" s="114"/>
      <c r="AZ61" s="114"/>
      <c r="BA61" s="99"/>
      <c r="BB61" s="214">
        <v>43024</v>
      </c>
      <c r="BC61" s="101">
        <v>43116</v>
      </c>
      <c r="BD61" s="101"/>
      <c r="BE61" s="214"/>
      <c r="BF61" s="101"/>
      <c r="BG61" s="170"/>
      <c r="BH61" s="213"/>
      <c r="BI61" s="170"/>
      <c r="BJ61" s="170">
        <v>43160</v>
      </c>
      <c r="BK61" s="102"/>
      <c r="BL61" s="198">
        <f t="shared" ref="BL61:BL77" si="288">DATE(YEAR(BK61),MONTH(BK61)+24,DAY(BK61))</f>
        <v>731</v>
      </c>
      <c r="BM61" s="198">
        <f t="shared" ref="BM61:BM77" si="289">DATE(YEAR(BK61),MONTH(BK61)+36,DAY(BK61))</f>
        <v>1096</v>
      </c>
      <c r="BN61" s="198"/>
      <c r="BO61" s="170" t="s">
        <v>928</v>
      </c>
      <c r="BP61" s="170">
        <v>43163</v>
      </c>
      <c r="BQ61" s="102"/>
      <c r="BR61" s="103">
        <v>43178</v>
      </c>
      <c r="BS61" s="103"/>
      <c r="BT61" s="103"/>
      <c r="BU61" s="168"/>
      <c r="BV61" s="172"/>
      <c r="BW61" s="266"/>
      <c r="BX61" s="167"/>
      <c r="BY61" s="172"/>
      <c r="BZ61" s="266"/>
      <c r="CA61" s="266"/>
      <c r="CB61" s="266"/>
      <c r="CC61" s="780">
        <f>(CX61-CB61)/30</f>
        <v>1456.9666666666667</v>
      </c>
      <c r="CD61" s="615"/>
      <c r="CE61" s="452">
        <v>43191</v>
      </c>
      <c r="CF61" s="445"/>
      <c r="CG61" s="600">
        <f t="shared" ref="CG61:CG77" si="290">(DATEDIF(BB61,CE61,"d"))/30</f>
        <v>5.5666666666666664</v>
      </c>
      <c r="CH61" s="260">
        <v>16</v>
      </c>
      <c r="CI61" s="260">
        <f t="shared" ref="CI61:CI77" si="291">CH61+1</f>
        <v>17</v>
      </c>
      <c r="CJ61" s="255">
        <f t="shared" ref="CJ61:CJ77" si="292">DATEDIF(CE61,CR61,"M")</f>
        <v>16</v>
      </c>
      <c r="CK61" s="255">
        <f t="shared" ref="CK61:CK77" si="293">DATEDIF(CE61,CX61,"M")</f>
        <v>17</v>
      </c>
      <c r="CL61" s="255">
        <f t="shared" ref="CL61:CL77" si="294">DATEDIF(CQ61,CR61,"M")</f>
        <v>0</v>
      </c>
      <c r="CM61" s="255">
        <f t="shared" ref="CM61:CM77" si="295">CK61-CI61</f>
        <v>0</v>
      </c>
      <c r="CN61" s="261"/>
      <c r="CO61" s="261">
        <f t="shared" ref="CO61:CO77" si="296">CN61*(CJ61-CH61)</f>
        <v>0</v>
      </c>
      <c r="CP61" s="256"/>
      <c r="CQ61" s="797">
        <f t="shared" ref="CQ61:CQ77" si="297">DATE(YEAR(CE61),MONTH(CE61)+CH61,DAY(CE61))</f>
        <v>43678</v>
      </c>
      <c r="CR61" s="454">
        <f t="shared" ref="CR61:CR70" si="298">DATE(YEAR(CE61),MONTH(CE61)+CH61,DAY(CE61))</f>
        <v>43678</v>
      </c>
      <c r="CS61" s="752">
        <f t="shared" ref="CS61:CS70" si="299">DATE(YEAR(CA61)+2,MONTH(CA61),DAY(CA61))</f>
        <v>731</v>
      </c>
      <c r="CT61" s="256"/>
      <c r="CU61" s="883" t="e">
        <f t="shared" ref="CU61:CU77" si="300">(DATEDIF(BB61,CT61,"d"))/30/12</f>
        <v>#NUM!</v>
      </c>
      <c r="CV61" s="256"/>
      <c r="CW61" s="749">
        <f t="shared" ref="CW61:CW68" si="301">DATE(YEAR(CR61),MONTH(CR61)+1,DAY(CR61))</f>
        <v>43709</v>
      </c>
      <c r="CX61" s="612">
        <f t="shared" ref="CX61:CX68" si="302">CW61</f>
        <v>43709</v>
      </c>
      <c r="CY61" s="753"/>
      <c r="CZ61" s="122"/>
      <c r="DA61" s="125"/>
      <c r="DB61" s="125"/>
      <c r="DC61" s="125"/>
      <c r="DD61" s="125"/>
      <c r="DE61" s="125"/>
      <c r="DF61" s="56"/>
      <c r="DG61" s="296">
        <f t="shared" ref="DG61:DG77" si="303">DATE(YEAR(CR61)+1,MONTH(CR61),DAY(CR61))</f>
        <v>44044</v>
      </c>
      <c r="DH61" s="56"/>
      <c r="DI61" s="56"/>
      <c r="DJ61" s="56"/>
      <c r="DK61" s="56"/>
      <c r="DL61" s="56"/>
      <c r="DM61" s="56"/>
      <c r="DN61" s="56"/>
      <c r="DO61" s="56"/>
      <c r="DP61" s="56"/>
      <c r="DQ61" s="56"/>
      <c r="DR61" s="56"/>
      <c r="DS61" s="56"/>
      <c r="DT61" s="710"/>
      <c r="DU61" s="713"/>
      <c r="DV61" s="713"/>
      <c r="DW61" s="715" t="str">
        <f t="shared" ref="DW61:DW84" si="304">IF(AND(DU61&gt;0,DV61&gt;0),DV61-DU61,"0")</f>
        <v>0</v>
      </c>
      <c r="DX61" s="713">
        <v>42775</v>
      </c>
      <c r="DY61" s="713">
        <v>42871</v>
      </c>
      <c r="DZ61" s="715">
        <f t="shared" ref="DZ61:DZ77" si="305">IF(AND(DX61&gt;0,DY61&gt;0),DY61-DX61,"0")</f>
        <v>96</v>
      </c>
      <c r="EA61" s="713"/>
      <c r="EB61" s="713"/>
      <c r="EC61" s="715" t="str">
        <f t="shared" ref="EC61:EC77" si="306">IF(AND(EA61&gt;0,EB61&gt;0),EB61-EA61,"0")</f>
        <v>0</v>
      </c>
      <c r="ED61" s="713"/>
      <c r="EE61" s="713"/>
      <c r="EF61" s="715" t="str">
        <f t="shared" ref="EF61:EF77" si="307">IF(AND(ED61&gt;0,EE61&gt;0),EE61-ED61,"0")</f>
        <v>0</v>
      </c>
      <c r="EG61" s="713"/>
      <c r="EH61" s="713"/>
      <c r="EI61" s="715" t="str">
        <f t="shared" ref="EI61:EI77" si="308">IF(AND(EG61&gt;0,EH61&gt;0),EH61-EG61,"0")</f>
        <v>0</v>
      </c>
      <c r="EJ61" s="718"/>
      <c r="EK61" s="695"/>
      <c r="EL61" s="701"/>
      <c r="EM61" s="697" t="str">
        <f t="shared" ref="EM61:EM77" si="309">IF(AND(EK61&gt;0,EL61&gt;0),EL61-EK61,"0")</f>
        <v>0</v>
      </c>
      <c r="EN61" s="695"/>
      <c r="EO61" s="701">
        <f t="shared" ref="EO61:EO68" ca="1" si="310">IF(EN61&lt;TODAY(),TODAY(),EN61)</f>
        <v>43188</v>
      </c>
      <c r="EP61" s="697" t="str">
        <f t="shared" ref="EP61:EP77" ca="1" si="311">IF(AND(EN61&gt;0,EO61&gt;0),EO61-EN61,"0")</f>
        <v>0</v>
      </c>
      <c r="EQ61" s="695"/>
      <c r="ER61" s="701">
        <f t="shared" ref="ER61:ER69" ca="1" si="312">IF(EQ61&lt;TODAY(),TODAY(),EQ61)</f>
        <v>43188</v>
      </c>
      <c r="ES61" s="697" t="str">
        <f t="shared" ref="ES61:ES77" ca="1" si="313">IF(AND(EQ61&gt;0,ER61&gt;0),ER61-EQ61,"0")</f>
        <v>0</v>
      </c>
      <c r="ET61" s="695"/>
      <c r="EU61" s="722">
        <f t="shared" ref="EU61:EU69" ca="1" si="314">IF(ET61&lt;TODAY(),TODAY(),ET61)</f>
        <v>43188</v>
      </c>
      <c r="EV61" s="698" t="str">
        <f t="shared" ref="EV61:EV77" ca="1" si="315">IF(AND(ET61&gt;0,EU61&gt;0),EU61-ET61,"0")</f>
        <v>0</v>
      </c>
      <c r="EW61" s="699"/>
      <c r="EX61" s="701">
        <f t="shared" ref="EX61:EX69" ca="1" si="316">IF(EW61&lt;TODAY(),TODAY(),EW61)</f>
        <v>43188</v>
      </c>
      <c r="EY61" s="697" t="str">
        <f t="shared" ref="EY61:EY77" ca="1" si="317">IF(AND(EW61&gt;0,EX61&gt;0),EX61-EW61,"0")</f>
        <v>0</v>
      </c>
      <c r="EZ61" s="701"/>
      <c r="FA61" s="701">
        <f t="shared" ref="FA61:FA69" ca="1" si="318">IF(EZ61&lt;TODAY(),TODAY(),EZ61)</f>
        <v>43188</v>
      </c>
      <c r="FB61" s="697" t="str">
        <f t="shared" ref="FB61:FB77" ca="1" si="319">IF(AND(EZ61&gt;0,FA61&gt;0),FA61-EZ61,"0")</f>
        <v>0</v>
      </c>
      <c r="FC61" s="701"/>
      <c r="FD61" s="701">
        <f ca="1">IF(FC61&lt;TODAY(),TODAY(),FC61)</f>
        <v>43188</v>
      </c>
      <c r="FE61" s="697" t="str">
        <f t="shared" ref="FE61:FE77" ca="1" si="320">IF(AND(FC61&gt;0,FD61&gt;0),FD61-FC61,"0")</f>
        <v>0</v>
      </c>
      <c r="FF61" s="701"/>
      <c r="FG61" s="701">
        <f ca="1">IF(FF61&lt;TODAY(),TODAY(),FF61)</f>
        <v>43188</v>
      </c>
      <c r="FH61" s="697" t="str">
        <f t="shared" ref="FH61:FH77" ca="1" si="321">IF(AND(FF61&gt;0,FG61&gt;0),FG61-FF61,"0")</f>
        <v>0</v>
      </c>
      <c r="FI61" s="701"/>
      <c r="FJ61" s="701">
        <f ca="1">IF(FI61&lt;TODAY(),TODAY(),FI61)</f>
        <v>43188</v>
      </c>
      <c r="FK61" s="697" t="str">
        <f t="shared" ref="FK61:FK77" ca="1" si="322">IF(AND(FI61&gt;0,FJ61&gt;0),FJ61-FI61,"0")</f>
        <v>0</v>
      </c>
      <c r="FL61" s="701"/>
      <c r="FM61" s="701"/>
      <c r="FN61" s="701"/>
      <c r="FO61" s="701">
        <v>43149</v>
      </c>
      <c r="FP61" s="701">
        <f t="shared" ref="FP61:FP77" si="323">CR61</f>
        <v>43678</v>
      </c>
      <c r="FQ61" s="699" t="e">
        <f ca="1">(DATEDIF(EO61,FO61,"d"))/30</f>
        <v>#NUM!</v>
      </c>
      <c r="FR61" s="701">
        <v>43696</v>
      </c>
      <c r="FS61" s="701">
        <f t="shared" ref="FS61:FS77" si="324">CX61</f>
        <v>43709</v>
      </c>
      <c r="FT61" s="727">
        <v>0</v>
      </c>
      <c r="FU61" s="727">
        <v>0</v>
      </c>
      <c r="FV61" s="727"/>
      <c r="FW61" s="727"/>
      <c r="FX61" s="728">
        <f t="shared" ref="FX61:FX77" ca="1" si="325">(DW61+DZ61+EC61+EF61+EI61+EM61+EP61)/30</f>
        <v>3.2</v>
      </c>
      <c r="FY61" s="728">
        <f t="shared" ref="FY61:FY69" si="326">(FS61-FR61)/30</f>
        <v>0.43333333333333335</v>
      </c>
      <c r="FZ61" s="724"/>
      <c r="GA61" s="741"/>
      <c r="GB61" s="741"/>
      <c r="GC61" s="741" t="s">
        <v>902</v>
      </c>
      <c r="GD61" s="117"/>
      <c r="GE61" s="117"/>
      <c r="GF61" s="95">
        <f>+GP61+GU61+HB61+HV61+HG61</f>
        <v>6236911</v>
      </c>
      <c r="GG61" s="70">
        <f t="shared" ref="GG61:GG70" si="327">GQ61+GV61+HC61+HV61+HD61+HG61</f>
        <v>6236911</v>
      </c>
      <c r="GH61" s="13">
        <f t="shared" ref="GH61:GH103" si="328">GG61-GF61</f>
        <v>0</v>
      </c>
      <c r="GI61" s="52">
        <f t="shared" ref="GI61:GI70" si="329">GG61/AI61</f>
        <v>3338.263457349155</v>
      </c>
      <c r="GJ61" s="52">
        <f t="shared" ref="GJ61:GJ70" si="330">GG61/AD61</f>
        <v>62369.11</v>
      </c>
      <c r="GK61" s="95"/>
      <c r="GL61" s="70"/>
      <c r="GM61" s="96">
        <f t="shared" ref="GM61:GM103" si="331">GL61-GK61</f>
        <v>0</v>
      </c>
      <c r="GN61" s="136">
        <f t="shared" ref="GN61:GN103" si="332">GL61*1.021/GG61</f>
        <v>0</v>
      </c>
      <c r="GO61" s="136">
        <v>0.4</v>
      </c>
      <c r="GP61" s="95">
        <v>1736993</v>
      </c>
      <c r="GQ61" s="917">
        <v>1736993</v>
      </c>
      <c r="GR61" s="925">
        <v>1736993</v>
      </c>
      <c r="GS61" s="52">
        <f t="shared" ref="GS61:GS82" si="333">GQ61/AD61</f>
        <v>17369.93</v>
      </c>
      <c r="GT61" s="97"/>
      <c r="GU61" s="842">
        <v>3189669</v>
      </c>
      <c r="GV61" s="12">
        <v>3189669</v>
      </c>
      <c r="GW61" s="493"/>
      <c r="GX61" s="493"/>
      <c r="GY61" s="97">
        <f t="shared" ref="GY61:GY103" si="334">GV61-GU61</f>
        <v>0</v>
      </c>
      <c r="GZ61" s="889">
        <f t="shared" ref="GZ61:GZ70" si="335">GV61/AD61</f>
        <v>31896.69</v>
      </c>
      <c r="HA61" s="493"/>
      <c r="HB61" s="95"/>
      <c r="HC61" s="494"/>
      <c r="HD61" s="70"/>
      <c r="HE61" s="90">
        <f t="shared" si="40"/>
        <v>0</v>
      </c>
      <c r="HF61" s="500"/>
      <c r="HG61" s="70">
        <v>1310249</v>
      </c>
      <c r="HH61" s="91">
        <f t="shared" ref="HH61:HH77" si="336">HC61-HB61</f>
        <v>0</v>
      </c>
      <c r="HI61" s="22">
        <f t="shared" si="41"/>
        <v>0</v>
      </c>
      <c r="HJ61" s="84">
        <f t="shared" si="115"/>
        <v>17369.93</v>
      </c>
      <c r="HK61" s="91">
        <f t="shared" ref="HK61:HK72" si="337">HH61/AD61</f>
        <v>0</v>
      </c>
      <c r="HL61" s="92">
        <v>6.31</v>
      </c>
      <c r="HM61" s="92"/>
      <c r="HN61" s="93"/>
      <c r="HO61" s="93"/>
      <c r="HP61" s="52">
        <f t="shared" ref="HP61:HP68" si="338">(GP61+HB61+HO61)/AD61</f>
        <v>17369.93</v>
      </c>
      <c r="HQ61" s="93"/>
      <c r="HR61" s="52">
        <f t="shared" ref="HR61:HR72" si="339">(GQ61+HC61+HO61+HQ61)/AD61</f>
        <v>17369.93</v>
      </c>
      <c r="HS61" s="53">
        <f t="shared" ref="HS61:HS68" si="340">(GP61+HB61+HO61+HQ61)/(HN61+GF61-HT61)</f>
        <v>0.27850213030136234</v>
      </c>
      <c r="HT61" s="93"/>
      <c r="HU61" s="93"/>
      <c r="HV61" s="493"/>
      <c r="HW61" s="42">
        <f t="shared" ref="HW61:HW67" si="341">GF61+HN61</f>
        <v>6236911</v>
      </c>
      <c r="HX61" s="293">
        <v>196296</v>
      </c>
      <c r="HY61" s="293">
        <f>IG61+II61+IQ61</f>
        <v>98148</v>
      </c>
      <c r="HZ61" s="341"/>
      <c r="IA61" s="339"/>
      <c r="IB61" s="339"/>
      <c r="IC61" s="341"/>
      <c r="ID61" s="341"/>
      <c r="IE61" s="339"/>
      <c r="IF61" s="341">
        <v>42735</v>
      </c>
      <c r="IG61" s="339">
        <v>46179</v>
      </c>
      <c r="IH61" s="341">
        <v>43074</v>
      </c>
      <c r="II61" s="339">
        <v>22525</v>
      </c>
      <c r="IJ61" s="405"/>
      <c r="IK61" s="865"/>
      <c r="IL61" s="866"/>
      <c r="IM61" s="866"/>
      <c r="IN61" s="340"/>
      <c r="IO61" s="339"/>
      <c r="IP61" s="340">
        <v>43167</v>
      </c>
      <c r="IQ61" s="339">
        <v>29444</v>
      </c>
      <c r="IR61" s="323"/>
      <c r="IS61" s="323"/>
      <c r="IT61" s="323"/>
      <c r="IU61" s="323"/>
      <c r="IV61" s="286"/>
      <c r="IW61" s="286"/>
      <c r="IX61" s="286"/>
      <c r="IY61" s="286"/>
      <c r="IZ61" s="286"/>
      <c r="JA61" s="286"/>
      <c r="JB61" s="409"/>
      <c r="JC61" s="122"/>
      <c r="JD61" s="295"/>
      <c r="JE61" s="122"/>
      <c r="JF61" s="122"/>
      <c r="JG61" s="295"/>
    </row>
    <row r="62" spans="1:267" ht="24.95" customHeight="1">
      <c r="A62" s="899" t="s">
        <v>342</v>
      </c>
      <c r="B62" s="56" t="s">
        <v>28</v>
      </c>
      <c r="C62" s="56" t="s">
        <v>113</v>
      </c>
      <c r="D62" s="56">
        <v>2016</v>
      </c>
      <c r="E62" s="56" t="s">
        <v>284</v>
      </c>
      <c r="F62" s="56" t="s">
        <v>30</v>
      </c>
      <c r="G62" s="8" t="s">
        <v>183</v>
      </c>
      <c r="H62" s="56" t="s">
        <v>259</v>
      </c>
      <c r="I62" s="56"/>
      <c r="J62" s="56" t="s">
        <v>371</v>
      </c>
      <c r="K62" s="272" t="s">
        <v>748</v>
      </c>
      <c r="L62" s="176"/>
      <c r="M62" s="177"/>
      <c r="N62" s="178"/>
      <c r="O62" s="217">
        <v>2872</v>
      </c>
      <c r="P62" s="217">
        <v>516960</v>
      </c>
      <c r="Q62" s="217">
        <f>P62</f>
        <v>516960</v>
      </c>
      <c r="R62" s="217">
        <f t="shared" si="279"/>
        <v>12924</v>
      </c>
      <c r="S62" s="217">
        <f t="shared" si="280"/>
        <v>180</v>
      </c>
      <c r="T62" s="223">
        <f t="shared" si="281"/>
        <v>180</v>
      </c>
      <c r="U62" s="223">
        <f t="shared" si="282"/>
        <v>216.90750717486529</v>
      </c>
      <c r="V62" s="223">
        <f t="shared" si="283"/>
        <v>12924</v>
      </c>
      <c r="W62" s="217">
        <f t="shared" si="284"/>
        <v>71.8</v>
      </c>
      <c r="X62" s="218"/>
      <c r="Y62" s="226">
        <f t="shared" si="285"/>
        <v>0.8298467966573817</v>
      </c>
      <c r="Z62" s="218"/>
      <c r="AA62" s="218"/>
      <c r="AB62" s="219"/>
      <c r="AC62" s="56" t="s">
        <v>16</v>
      </c>
      <c r="AD62" s="342">
        <f t="shared" si="286"/>
        <v>40</v>
      </c>
      <c r="AE62" s="67"/>
      <c r="AF62" s="56">
        <v>40</v>
      </c>
      <c r="AG62" s="56"/>
      <c r="AH62" s="8"/>
      <c r="AI62" s="60">
        <v>2383.79</v>
      </c>
      <c r="AJ62" s="237">
        <v>2383.3200000000002</v>
      </c>
      <c r="AK62" s="10">
        <f t="shared" si="287"/>
        <v>59.583000000000006</v>
      </c>
      <c r="AL62" s="81"/>
      <c r="AM62" s="81">
        <f>37/AD62</f>
        <v>0.92500000000000004</v>
      </c>
      <c r="AN62" s="81">
        <f>2/AD62</f>
        <v>0.05</v>
      </c>
      <c r="AO62" s="81">
        <f>1/AD62</f>
        <v>2.5000000000000001E-2</v>
      </c>
      <c r="AP62" s="81"/>
      <c r="AQ62" s="60"/>
      <c r="AR62" s="79"/>
      <c r="AS62" s="81"/>
      <c r="AT62" s="60">
        <v>3</v>
      </c>
      <c r="AU62" s="59" t="s">
        <v>626</v>
      </c>
      <c r="AV62" s="56"/>
      <c r="AW62" s="250">
        <v>42314</v>
      </c>
      <c r="AX62" s="250">
        <v>42475</v>
      </c>
      <c r="AY62" s="114"/>
      <c r="AZ62" s="114"/>
      <c r="BA62" s="99"/>
      <c r="BB62" s="214">
        <v>42629</v>
      </c>
      <c r="BC62" s="101">
        <v>42657</v>
      </c>
      <c r="BD62" s="101" t="s">
        <v>172</v>
      </c>
      <c r="BE62" s="214" t="s">
        <v>172</v>
      </c>
      <c r="BF62" s="101" t="s">
        <v>172</v>
      </c>
      <c r="BG62" s="170"/>
      <c r="BH62" s="213"/>
      <c r="BI62" s="170"/>
      <c r="BJ62" s="170"/>
      <c r="BK62" s="102"/>
      <c r="BL62" s="198">
        <f t="shared" si="288"/>
        <v>731</v>
      </c>
      <c r="BM62" s="198">
        <f t="shared" si="289"/>
        <v>1096</v>
      </c>
      <c r="BN62" s="198"/>
      <c r="BO62" s="170"/>
      <c r="BP62" s="175"/>
      <c r="BQ62" s="102"/>
      <c r="BR62" s="103"/>
      <c r="BS62" s="103"/>
      <c r="BT62" s="103"/>
      <c r="BU62" s="838"/>
      <c r="BV62" s="852"/>
      <c r="BW62" s="490"/>
      <c r="BX62" s="806"/>
      <c r="BY62" s="852">
        <f>DATE(YEAR(BV62),MONTH(BV62)+18,DAY(BV62))</f>
        <v>547</v>
      </c>
      <c r="BZ62" s="490"/>
      <c r="CA62" s="490"/>
      <c r="CB62" s="490" t="s">
        <v>172</v>
      </c>
      <c r="CC62" s="781"/>
      <c r="CD62" s="615"/>
      <c r="CE62" s="452">
        <v>43229</v>
      </c>
      <c r="CF62" s="445"/>
      <c r="CG62" s="600">
        <f t="shared" si="290"/>
        <v>20</v>
      </c>
      <c r="CH62" s="260">
        <v>16</v>
      </c>
      <c r="CI62" s="260">
        <f t="shared" si="291"/>
        <v>17</v>
      </c>
      <c r="CJ62" s="255">
        <f t="shared" si="292"/>
        <v>16</v>
      </c>
      <c r="CK62" s="255">
        <f t="shared" si="293"/>
        <v>17</v>
      </c>
      <c r="CL62" s="255">
        <f t="shared" si="294"/>
        <v>0</v>
      </c>
      <c r="CM62" s="255">
        <f t="shared" si="295"/>
        <v>0</v>
      </c>
      <c r="CN62" s="261"/>
      <c r="CO62" s="261">
        <f t="shared" si="296"/>
        <v>0</v>
      </c>
      <c r="CP62" s="256"/>
      <c r="CQ62" s="797">
        <f t="shared" si="297"/>
        <v>43717</v>
      </c>
      <c r="CR62" s="454">
        <f t="shared" si="298"/>
        <v>43717</v>
      </c>
      <c r="CS62" s="752">
        <f t="shared" si="299"/>
        <v>731</v>
      </c>
      <c r="CT62" s="256"/>
      <c r="CU62" s="883" t="e">
        <f t="shared" si="300"/>
        <v>#NUM!</v>
      </c>
      <c r="CV62" s="256"/>
      <c r="CW62" s="749">
        <f t="shared" si="301"/>
        <v>43747</v>
      </c>
      <c r="CX62" s="612">
        <f t="shared" si="302"/>
        <v>43747</v>
      </c>
      <c r="CY62" s="753"/>
      <c r="CZ62" s="122"/>
      <c r="DA62" s="125"/>
      <c r="DB62" s="125"/>
      <c r="DC62" s="125"/>
      <c r="DD62" s="125"/>
      <c r="DE62" s="125"/>
      <c r="DF62" s="56"/>
      <c r="DG62" s="296">
        <f t="shared" si="303"/>
        <v>44083</v>
      </c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126">
        <v>42164</v>
      </c>
      <c r="DU62" s="126">
        <v>42179</v>
      </c>
      <c r="DV62" s="126">
        <v>42170</v>
      </c>
      <c r="DW62" s="691">
        <f t="shared" si="304"/>
        <v>-9</v>
      </c>
      <c r="DX62" s="126">
        <v>42415</v>
      </c>
      <c r="DY62" s="126">
        <v>42415</v>
      </c>
      <c r="DZ62" s="691">
        <f t="shared" si="305"/>
        <v>0</v>
      </c>
      <c r="EA62" s="126">
        <v>42405</v>
      </c>
      <c r="EB62" s="126">
        <v>42669</v>
      </c>
      <c r="EC62" s="691">
        <f t="shared" si="306"/>
        <v>264</v>
      </c>
      <c r="ED62" s="126">
        <v>42475</v>
      </c>
      <c r="EE62" s="126">
        <v>42991</v>
      </c>
      <c r="EF62" s="691">
        <f t="shared" si="307"/>
        <v>516</v>
      </c>
      <c r="EG62" s="126">
        <v>42965</v>
      </c>
      <c r="EH62" s="126">
        <v>43070</v>
      </c>
      <c r="EI62" s="691">
        <f t="shared" si="308"/>
        <v>105</v>
      </c>
      <c r="EJ62" s="719"/>
      <c r="EK62" s="695">
        <v>43214</v>
      </c>
      <c r="EL62" s="701">
        <f t="shared" ref="EL62:EL68" ca="1" si="342">IF(EK62&lt;TODAY(),TODAY(),EK62)</f>
        <v>43214</v>
      </c>
      <c r="EM62" s="697">
        <f t="shared" ca="1" si="309"/>
        <v>0</v>
      </c>
      <c r="EN62" s="695">
        <v>43229</v>
      </c>
      <c r="EO62" s="701">
        <f t="shared" ca="1" si="310"/>
        <v>43229</v>
      </c>
      <c r="EP62" s="697">
        <f t="shared" ca="1" si="311"/>
        <v>0</v>
      </c>
      <c r="EQ62" s="695"/>
      <c r="ER62" s="701">
        <f t="shared" ca="1" si="312"/>
        <v>43188</v>
      </c>
      <c r="ES62" s="697" t="str">
        <f t="shared" ca="1" si="313"/>
        <v>0</v>
      </c>
      <c r="ET62" s="695"/>
      <c r="EU62" s="701">
        <f t="shared" ca="1" si="314"/>
        <v>43188</v>
      </c>
      <c r="EV62" s="698" t="str">
        <f t="shared" ca="1" si="315"/>
        <v>0</v>
      </c>
      <c r="EW62" s="701"/>
      <c r="EX62" s="701">
        <f t="shared" ca="1" si="316"/>
        <v>43188</v>
      </c>
      <c r="EY62" s="697" t="str">
        <f t="shared" ca="1" si="317"/>
        <v>0</v>
      </c>
      <c r="EZ62" s="701"/>
      <c r="FA62" s="701">
        <f t="shared" ca="1" si="318"/>
        <v>43188</v>
      </c>
      <c r="FB62" s="697" t="str">
        <f t="shared" ca="1" si="319"/>
        <v>0</v>
      </c>
      <c r="FC62" s="701"/>
      <c r="FD62" s="701"/>
      <c r="FE62" s="697" t="str">
        <f t="shared" si="320"/>
        <v>0</v>
      </c>
      <c r="FF62" s="701"/>
      <c r="FG62" s="701"/>
      <c r="FH62" s="697" t="str">
        <f t="shared" si="321"/>
        <v>0</v>
      </c>
      <c r="FI62" s="701"/>
      <c r="FJ62" s="701"/>
      <c r="FK62" s="697" t="str">
        <f t="shared" si="322"/>
        <v>0</v>
      </c>
      <c r="FL62" s="701"/>
      <c r="FM62" s="701"/>
      <c r="FN62" s="701"/>
      <c r="FO62" s="701">
        <v>43769</v>
      </c>
      <c r="FP62" s="701">
        <f t="shared" si="323"/>
        <v>43717</v>
      </c>
      <c r="FQ62" s="699">
        <v>18</v>
      </c>
      <c r="FR62" s="701">
        <v>43798</v>
      </c>
      <c r="FS62" s="701">
        <f t="shared" si="324"/>
        <v>43747</v>
      </c>
      <c r="FT62" s="727">
        <v>90790</v>
      </c>
      <c r="FU62" s="727">
        <v>10907</v>
      </c>
      <c r="FV62" s="727"/>
      <c r="FW62" s="727"/>
      <c r="FX62" s="728">
        <f t="shared" ca="1" si="325"/>
        <v>29.2</v>
      </c>
      <c r="FY62" s="728">
        <f t="shared" si="326"/>
        <v>-1.7</v>
      </c>
      <c r="FZ62" s="724"/>
      <c r="GA62" s="741"/>
      <c r="GB62" s="741"/>
      <c r="GC62" s="724" t="s">
        <v>903</v>
      </c>
      <c r="GD62" s="117"/>
      <c r="GE62" s="117"/>
      <c r="GF62" s="11">
        <f>+GP62+GU62+HB62+HV62</f>
        <v>5097578</v>
      </c>
      <c r="GG62" s="70">
        <f t="shared" si="327"/>
        <v>5207832</v>
      </c>
      <c r="GH62" s="13">
        <f t="shared" si="328"/>
        <v>110254</v>
      </c>
      <c r="GI62" s="52">
        <f t="shared" si="329"/>
        <v>2184.6857315451443</v>
      </c>
      <c r="GJ62" s="52">
        <f t="shared" si="330"/>
        <v>130195.8</v>
      </c>
      <c r="GK62" s="95">
        <v>4519361.7020000005</v>
      </c>
      <c r="GL62" s="70">
        <v>4649415</v>
      </c>
      <c r="GM62" s="13">
        <f t="shared" si="331"/>
        <v>130053.29799999949</v>
      </c>
      <c r="GN62" s="135">
        <f t="shared" si="332"/>
        <v>0.91152186072822627</v>
      </c>
      <c r="GO62" s="137">
        <v>0.4</v>
      </c>
      <c r="GP62" s="95">
        <v>1517885</v>
      </c>
      <c r="GQ62" s="917">
        <v>1640996</v>
      </c>
      <c r="GR62" s="925"/>
      <c r="GS62" s="52">
        <f t="shared" si="333"/>
        <v>41024.9</v>
      </c>
      <c r="GT62" s="97">
        <f>GQ62-GP62</f>
        <v>123111</v>
      </c>
      <c r="GU62" s="95">
        <f>1944434+824352</f>
        <v>2768786</v>
      </c>
      <c r="GV62" s="12">
        <f t="shared" ref="GV62:GV84" si="343">GW62+GX62</f>
        <v>2755929</v>
      </c>
      <c r="GW62" s="89">
        <v>601956</v>
      </c>
      <c r="GX62" s="89">
        <v>2153973</v>
      </c>
      <c r="GY62" s="38">
        <f t="shared" si="334"/>
        <v>-12857</v>
      </c>
      <c r="GZ62" s="888">
        <f t="shared" si="335"/>
        <v>68898.225000000006</v>
      </c>
      <c r="HA62" s="70"/>
      <c r="HB62" s="95">
        <v>800000</v>
      </c>
      <c r="HC62" s="12">
        <f>HB62</f>
        <v>800000</v>
      </c>
      <c r="HD62" s="70"/>
      <c r="HE62" s="90">
        <f t="shared" si="40"/>
        <v>0.15361478634487441</v>
      </c>
      <c r="HF62" s="326"/>
      <c r="HG62" s="70"/>
      <c r="HH62" s="23">
        <f t="shared" si="336"/>
        <v>0</v>
      </c>
      <c r="HI62" s="22">
        <f t="shared" si="41"/>
        <v>20000</v>
      </c>
      <c r="HJ62" s="84">
        <f t="shared" si="115"/>
        <v>61024.9</v>
      </c>
      <c r="HK62" s="23">
        <f t="shared" si="337"/>
        <v>0</v>
      </c>
      <c r="HL62" s="92">
        <v>5.76</v>
      </c>
      <c r="HM62" s="92">
        <v>5.7</v>
      </c>
      <c r="HN62" s="93"/>
      <c r="HO62" s="93"/>
      <c r="HP62" s="22">
        <f t="shared" si="338"/>
        <v>57947.125</v>
      </c>
      <c r="HQ62" s="93"/>
      <c r="HR62" s="22">
        <f t="shared" si="339"/>
        <v>61024.9</v>
      </c>
      <c r="HS62" s="53">
        <f t="shared" si="340"/>
        <v>0.45470319434052797</v>
      </c>
      <c r="HT62" s="93"/>
      <c r="HU62" s="93"/>
      <c r="HV62" s="70">
        <f t="shared" si="192"/>
        <v>10907</v>
      </c>
      <c r="HW62" s="42">
        <f t="shared" si="341"/>
        <v>5097578</v>
      </c>
      <c r="HX62" s="293">
        <v>251153</v>
      </c>
      <c r="HY62" s="293">
        <f t="shared" ref="HY62:HY104" si="344">IA62+IC62+IE62+IG62+II62+IK62+IM62+IO62+IQ62+IS62+IU62+IW62+IY62+JA62+JC62+JE62+JG62</f>
        <v>126076</v>
      </c>
      <c r="HZ62" s="118">
        <v>42180</v>
      </c>
      <c r="IA62" s="243">
        <v>21429</v>
      </c>
      <c r="IB62" s="243"/>
      <c r="IC62" s="118"/>
      <c r="ID62" s="118">
        <v>42633</v>
      </c>
      <c r="IE62" s="243">
        <v>12215</v>
      </c>
      <c r="IF62" s="118">
        <v>42429</v>
      </c>
      <c r="IG62" s="243">
        <v>24930</v>
      </c>
      <c r="IH62" s="118" t="s">
        <v>614</v>
      </c>
      <c r="II62" s="243">
        <v>29829</v>
      </c>
      <c r="IJ62" s="119">
        <v>43090</v>
      </c>
      <c r="IK62" s="403">
        <v>37673</v>
      </c>
      <c r="IL62" s="338"/>
      <c r="IM62" s="338"/>
      <c r="IN62" s="292"/>
      <c r="IO62" s="293"/>
      <c r="IP62" s="292"/>
      <c r="IQ62" s="293"/>
      <c r="IR62" s="323"/>
      <c r="IS62" s="323"/>
      <c r="IT62" s="323"/>
      <c r="IU62" s="323"/>
      <c r="IV62" s="286"/>
      <c r="IW62" s="286"/>
      <c r="IX62" s="286"/>
      <c r="IY62" s="286"/>
      <c r="IZ62" s="286"/>
      <c r="JA62" s="286"/>
      <c r="JB62" s="243">
        <v>24930</v>
      </c>
      <c r="JC62" s="126"/>
      <c r="JD62" s="119"/>
      <c r="JE62" s="126"/>
      <c r="JF62" s="126"/>
      <c r="JG62" s="119"/>
    </row>
    <row r="63" spans="1:267" ht="24.95" customHeight="1">
      <c r="A63" s="899" t="s">
        <v>857</v>
      </c>
      <c r="B63" s="56" t="s">
        <v>272</v>
      </c>
      <c r="C63" s="56" t="s">
        <v>115</v>
      </c>
      <c r="D63" s="56">
        <v>2017</v>
      </c>
      <c r="E63" s="56" t="s">
        <v>456</v>
      </c>
      <c r="F63" s="56" t="s">
        <v>423</v>
      </c>
      <c r="G63" s="56" t="s">
        <v>725</v>
      </c>
      <c r="H63" s="56" t="s">
        <v>179</v>
      </c>
      <c r="I63" s="56"/>
      <c r="J63" s="56" t="s">
        <v>448</v>
      </c>
      <c r="K63" s="272" t="s">
        <v>744</v>
      </c>
      <c r="L63" s="176"/>
      <c r="M63" s="177"/>
      <c r="N63" s="178"/>
      <c r="O63" s="217">
        <v>5443</v>
      </c>
      <c r="P63" s="217">
        <v>381010</v>
      </c>
      <c r="Q63" s="229">
        <v>381010</v>
      </c>
      <c r="R63" s="217">
        <f t="shared" si="279"/>
        <v>18143.333333333332</v>
      </c>
      <c r="S63" s="223">
        <f t="shared" si="280"/>
        <v>70</v>
      </c>
      <c r="T63" s="229">
        <f t="shared" si="281"/>
        <v>70</v>
      </c>
      <c r="U63" s="229">
        <f t="shared" si="282"/>
        <v>238.72208716573519</v>
      </c>
      <c r="V63" s="229">
        <f t="shared" si="283"/>
        <v>18143.333333333332</v>
      </c>
      <c r="W63" s="217">
        <f t="shared" si="284"/>
        <v>259.1904761904762</v>
      </c>
      <c r="X63" s="218"/>
      <c r="Y63" s="219">
        <f t="shared" si="285"/>
        <v>0.29322799926511117</v>
      </c>
      <c r="Z63" s="218"/>
      <c r="AA63" s="218">
        <v>900</v>
      </c>
      <c r="AB63" s="219"/>
      <c r="AC63" s="56" t="s">
        <v>16</v>
      </c>
      <c r="AD63" s="342">
        <f t="shared" si="286"/>
        <v>21</v>
      </c>
      <c r="AE63" s="67"/>
      <c r="AF63" s="56">
        <v>21</v>
      </c>
      <c r="AG63" s="56"/>
      <c r="AH63" s="8"/>
      <c r="AI63" s="60">
        <v>1580.35</v>
      </c>
      <c r="AJ63" s="94">
        <v>1596.04</v>
      </c>
      <c r="AK63" s="10">
        <f t="shared" si="287"/>
        <v>76.001904761904754</v>
      </c>
      <c r="AL63" s="81"/>
      <c r="AM63" s="81"/>
      <c r="AN63" s="81"/>
      <c r="AO63" s="81"/>
      <c r="AP63" s="81"/>
      <c r="AQ63" s="60"/>
      <c r="AR63" s="79"/>
      <c r="AS63" s="81"/>
      <c r="AT63" s="60"/>
      <c r="AU63" s="56" t="s">
        <v>625</v>
      </c>
      <c r="AV63" s="56"/>
      <c r="AW63" s="250">
        <v>42761</v>
      </c>
      <c r="AX63" s="56"/>
      <c r="AY63" s="114"/>
      <c r="AZ63" s="114"/>
      <c r="BA63" s="99"/>
      <c r="BB63" s="214">
        <v>43017</v>
      </c>
      <c r="BC63" s="101">
        <v>43045</v>
      </c>
      <c r="BD63" s="101"/>
      <c r="BE63" s="214"/>
      <c r="BF63" s="101"/>
      <c r="BG63" s="170">
        <v>43042</v>
      </c>
      <c r="BH63" s="213"/>
      <c r="BI63" s="170"/>
      <c r="BJ63" s="170"/>
      <c r="BK63" s="102"/>
      <c r="BL63" s="198">
        <f t="shared" si="288"/>
        <v>731</v>
      </c>
      <c r="BM63" s="198">
        <f t="shared" si="289"/>
        <v>1096</v>
      </c>
      <c r="BN63" s="198"/>
      <c r="BO63" s="170"/>
      <c r="BP63" s="175"/>
      <c r="BQ63" s="102"/>
      <c r="BR63" s="103"/>
      <c r="BS63" s="103"/>
      <c r="BT63" s="103"/>
      <c r="BU63" s="168"/>
      <c r="BV63" s="266"/>
      <c r="BW63" s="266"/>
      <c r="BX63" s="167"/>
      <c r="BY63" s="266">
        <f>DATE(YEAR(BV63),MONTH(BV63)+18,DAY(BV63))</f>
        <v>547</v>
      </c>
      <c r="BZ63" s="266"/>
      <c r="CA63" s="266"/>
      <c r="CB63" s="266" t="s">
        <v>172</v>
      </c>
      <c r="CC63" s="781"/>
      <c r="CD63" s="615"/>
      <c r="CE63" s="452">
        <v>43248</v>
      </c>
      <c r="CF63" s="445"/>
      <c r="CG63" s="600">
        <f t="shared" si="290"/>
        <v>7.7</v>
      </c>
      <c r="CH63" s="260">
        <v>16</v>
      </c>
      <c r="CI63" s="260">
        <f t="shared" si="291"/>
        <v>17</v>
      </c>
      <c r="CJ63" s="255">
        <f t="shared" si="292"/>
        <v>16</v>
      </c>
      <c r="CK63" s="255">
        <f t="shared" si="293"/>
        <v>17</v>
      </c>
      <c r="CL63" s="255">
        <f t="shared" si="294"/>
        <v>0</v>
      </c>
      <c r="CM63" s="255">
        <f t="shared" si="295"/>
        <v>0</v>
      </c>
      <c r="CN63" s="261"/>
      <c r="CO63" s="261">
        <f t="shared" si="296"/>
        <v>0</v>
      </c>
      <c r="CP63" s="256"/>
      <c r="CQ63" s="797">
        <f t="shared" si="297"/>
        <v>43736</v>
      </c>
      <c r="CR63" s="454">
        <f t="shared" si="298"/>
        <v>43736</v>
      </c>
      <c r="CS63" s="752">
        <f t="shared" si="299"/>
        <v>731</v>
      </c>
      <c r="CT63" s="256"/>
      <c r="CU63" s="883" t="e">
        <f t="shared" si="300"/>
        <v>#NUM!</v>
      </c>
      <c r="CV63" s="256"/>
      <c r="CW63" s="749">
        <f t="shared" si="301"/>
        <v>43766</v>
      </c>
      <c r="CX63" s="612">
        <f t="shared" si="302"/>
        <v>43766</v>
      </c>
      <c r="CY63" s="753"/>
      <c r="CZ63" s="122"/>
      <c r="DA63" s="125"/>
      <c r="DB63" s="125"/>
      <c r="DC63" s="125"/>
      <c r="DD63" s="125"/>
      <c r="DE63" s="125"/>
      <c r="DF63" s="56"/>
      <c r="DG63" s="296">
        <f t="shared" si="303"/>
        <v>44102</v>
      </c>
      <c r="DH63" s="56"/>
      <c r="DI63" s="56"/>
      <c r="DJ63" s="56"/>
      <c r="DK63" s="56"/>
      <c r="DL63" s="56"/>
      <c r="DM63" s="56"/>
      <c r="DN63" s="56"/>
      <c r="DO63" s="56"/>
      <c r="DP63" s="56"/>
      <c r="DQ63" s="56"/>
      <c r="DR63" s="56"/>
      <c r="DS63" s="56"/>
      <c r="DT63" s="340">
        <v>42585</v>
      </c>
      <c r="DU63" s="126">
        <v>42600</v>
      </c>
      <c r="DV63" s="126">
        <v>42585</v>
      </c>
      <c r="DW63" s="691">
        <f t="shared" si="304"/>
        <v>-15</v>
      </c>
      <c r="DX63" s="126">
        <v>42740</v>
      </c>
      <c r="DY63" s="126">
        <v>42751</v>
      </c>
      <c r="DZ63" s="691">
        <f t="shared" si="305"/>
        <v>11</v>
      </c>
      <c r="EA63" s="340">
        <v>42751</v>
      </c>
      <c r="EB63" s="340">
        <v>42744</v>
      </c>
      <c r="EC63" s="691">
        <f t="shared" si="306"/>
        <v>-7</v>
      </c>
      <c r="ED63" s="126">
        <v>42803</v>
      </c>
      <c r="EE63" s="126">
        <v>42837</v>
      </c>
      <c r="EF63" s="691">
        <f t="shared" si="307"/>
        <v>34</v>
      </c>
      <c r="EG63" s="126">
        <v>42895</v>
      </c>
      <c r="EH63" s="126">
        <v>42947</v>
      </c>
      <c r="EI63" s="691">
        <f t="shared" si="308"/>
        <v>52</v>
      </c>
      <c r="EJ63" s="720"/>
      <c r="EK63" s="706">
        <v>43144</v>
      </c>
      <c r="EL63" s="701">
        <f t="shared" ca="1" si="342"/>
        <v>43188</v>
      </c>
      <c r="EM63" s="697">
        <f t="shared" ca="1" si="309"/>
        <v>44</v>
      </c>
      <c r="EN63" s="706">
        <v>43159</v>
      </c>
      <c r="EO63" s="701">
        <f t="shared" ca="1" si="310"/>
        <v>43188</v>
      </c>
      <c r="EP63" s="697">
        <f t="shared" ca="1" si="311"/>
        <v>29</v>
      </c>
      <c r="EQ63" s="695"/>
      <c r="ER63" s="701">
        <f t="shared" ca="1" si="312"/>
        <v>43188</v>
      </c>
      <c r="ES63" s="697" t="str">
        <f t="shared" ca="1" si="313"/>
        <v>0</v>
      </c>
      <c r="ET63" s="695"/>
      <c r="EU63" s="722">
        <f t="shared" ca="1" si="314"/>
        <v>43188</v>
      </c>
      <c r="EV63" s="698" t="str">
        <f t="shared" ca="1" si="315"/>
        <v>0</v>
      </c>
      <c r="EW63" s="701"/>
      <c r="EX63" s="701">
        <f t="shared" ca="1" si="316"/>
        <v>43188</v>
      </c>
      <c r="EY63" s="697" t="str">
        <f t="shared" ca="1" si="317"/>
        <v>0</v>
      </c>
      <c r="EZ63" s="706"/>
      <c r="FA63" s="701">
        <f t="shared" ca="1" si="318"/>
        <v>43188</v>
      </c>
      <c r="FB63" s="697" t="str">
        <f t="shared" ca="1" si="319"/>
        <v>0</v>
      </c>
      <c r="FC63" s="701"/>
      <c r="FD63" s="701">
        <f ca="1">IF(FC63&lt;TODAY(),TODAY(),FC63)</f>
        <v>43188</v>
      </c>
      <c r="FE63" s="697" t="str">
        <f t="shared" ca="1" si="320"/>
        <v>0</v>
      </c>
      <c r="FF63" s="701"/>
      <c r="FG63" s="701">
        <f ca="1">IF(FF63&lt;TODAY(),TODAY(),FF63)</f>
        <v>43188</v>
      </c>
      <c r="FH63" s="697" t="str">
        <f t="shared" ca="1" si="321"/>
        <v>0</v>
      </c>
      <c r="FI63" s="701"/>
      <c r="FJ63" s="701">
        <f ca="1">IF(FI63&lt;TODAY(),TODAY(),FI63)</f>
        <v>43188</v>
      </c>
      <c r="FK63" s="697" t="str">
        <f t="shared" ca="1" si="322"/>
        <v>0</v>
      </c>
      <c r="FL63" s="701"/>
      <c r="FM63" s="701"/>
      <c r="FN63" s="701"/>
      <c r="FO63" s="701">
        <v>43637</v>
      </c>
      <c r="FP63" s="701">
        <f t="shared" si="323"/>
        <v>43736</v>
      </c>
      <c r="FQ63" s="699">
        <f ca="1">(DATEDIF(EO63,FO63,"d"))/30</f>
        <v>14.966666666666667</v>
      </c>
      <c r="FR63" s="701">
        <v>43669</v>
      </c>
      <c r="FS63" s="701">
        <f t="shared" si="324"/>
        <v>43766</v>
      </c>
      <c r="FT63" s="727">
        <v>200000</v>
      </c>
      <c r="FU63" s="727">
        <v>200000</v>
      </c>
      <c r="FV63" s="727"/>
      <c r="FW63" s="727"/>
      <c r="FX63" s="728">
        <f t="shared" ca="1" si="325"/>
        <v>4.9333333333333336</v>
      </c>
      <c r="FY63" s="728">
        <f t="shared" si="326"/>
        <v>3.2333333333333334</v>
      </c>
      <c r="FZ63" s="730"/>
      <c r="GA63" s="756"/>
      <c r="GB63" s="756"/>
      <c r="GC63" s="756" t="s">
        <v>905</v>
      </c>
      <c r="GD63" s="117"/>
      <c r="GE63" s="117"/>
      <c r="GF63" s="95">
        <f>+GP63+GU63+HB63+HV63+HG63</f>
        <v>3923712.87</v>
      </c>
      <c r="GG63" s="70">
        <f t="shared" si="327"/>
        <v>3878266</v>
      </c>
      <c r="GH63" s="95">
        <f t="shared" si="328"/>
        <v>-45446.870000000112</v>
      </c>
      <c r="GI63" s="52">
        <f t="shared" si="329"/>
        <v>2454.0551143733983</v>
      </c>
      <c r="GJ63" s="52">
        <f t="shared" si="330"/>
        <v>184679.33333333334</v>
      </c>
      <c r="GK63" s="95"/>
      <c r="GL63" s="95">
        <v>3634508</v>
      </c>
      <c r="GM63" s="11">
        <f t="shared" si="331"/>
        <v>3634508</v>
      </c>
      <c r="GN63" s="11">
        <f t="shared" si="332"/>
        <v>0.9568277854071896</v>
      </c>
      <c r="GO63" s="326"/>
      <c r="GP63" s="95">
        <v>1246192.3500000001</v>
      </c>
      <c r="GQ63" s="917">
        <v>1198389</v>
      </c>
      <c r="GR63" s="925">
        <v>1198389</v>
      </c>
      <c r="GS63" s="11">
        <f t="shared" si="333"/>
        <v>57066.142857142855</v>
      </c>
      <c r="GT63" s="11">
        <f>GQ63-GP63</f>
        <v>-47803.350000000093</v>
      </c>
      <c r="GU63" s="515">
        <v>1810436.52</v>
      </c>
      <c r="GV63" s="70">
        <f t="shared" si="343"/>
        <v>1812793</v>
      </c>
      <c r="GW63" s="89">
        <v>576479</v>
      </c>
      <c r="GX63" s="89">
        <v>1236314</v>
      </c>
      <c r="GY63" s="11">
        <f t="shared" si="334"/>
        <v>2356.4799999999814</v>
      </c>
      <c r="GZ63" s="609">
        <f t="shared" si="335"/>
        <v>86323.476190476184</v>
      </c>
      <c r="HA63" s="493"/>
      <c r="HB63" s="95">
        <v>504000</v>
      </c>
      <c r="HC63" s="70">
        <v>504000</v>
      </c>
      <c r="HD63" s="95"/>
      <c r="HE63" s="608">
        <f t="shared" si="40"/>
        <v>0.12995498503712741</v>
      </c>
      <c r="HF63" s="493"/>
      <c r="HG63" s="70">
        <f>114303+48781</f>
        <v>163084</v>
      </c>
      <c r="HH63" s="23">
        <f t="shared" si="336"/>
        <v>0</v>
      </c>
      <c r="HI63" s="22">
        <f t="shared" si="41"/>
        <v>24000</v>
      </c>
      <c r="HJ63" s="84">
        <f t="shared" si="115"/>
        <v>81066.142857142855</v>
      </c>
      <c r="HK63" s="23">
        <f t="shared" si="337"/>
        <v>0</v>
      </c>
      <c r="HL63" s="92">
        <v>5.35</v>
      </c>
      <c r="HM63" s="92">
        <v>5.34</v>
      </c>
      <c r="HN63" s="93"/>
      <c r="HO63" s="93"/>
      <c r="HP63" s="22">
        <f t="shared" si="338"/>
        <v>83342.492857142861</v>
      </c>
      <c r="HQ63" s="93"/>
      <c r="HR63" s="22">
        <f t="shared" si="339"/>
        <v>81066.142857142855</v>
      </c>
      <c r="HS63" s="53">
        <f t="shared" si="340"/>
        <v>0.446055154387482</v>
      </c>
      <c r="HT63" s="93"/>
      <c r="HU63" s="93"/>
      <c r="HV63" s="70">
        <v>200000</v>
      </c>
      <c r="HW63" s="98">
        <f t="shared" si="341"/>
        <v>3923712.87</v>
      </c>
      <c r="HX63" s="293">
        <v>191612</v>
      </c>
      <c r="HY63" s="293">
        <f t="shared" si="344"/>
        <v>105386</v>
      </c>
      <c r="HZ63" s="118">
        <v>42579</v>
      </c>
      <c r="IA63" s="243">
        <v>17147</v>
      </c>
      <c r="IB63" s="243"/>
      <c r="IC63" s="341"/>
      <c r="ID63" s="341">
        <v>42716</v>
      </c>
      <c r="IE63" s="339">
        <v>0</v>
      </c>
      <c r="IF63" s="341">
        <v>42716</v>
      </c>
      <c r="IG63" s="243">
        <v>28305</v>
      </c>
      <c r="IH63" s="118">
        <v>42818</v>
      </c>
      <c r="II63" s="243">
        <v>21612</v>
      </c>
      <c r="IJ63" s="119">
        <v>42915</v>
      </c>
      <c r="IK63" s="403">
        <v>28742</v>
      </c>
      <c r="IL63" s="338"/>
      <c r="IM63" s="338"/>
      <c r="IN63" s="292">
        <v>42989</v>
      </c>
      <c r="IO63" s="301">
        <v>9580</v>
      </c>
      <c r="IP63" s="292"/>
      <c r="IQ63" s="297"/>
      <c r="IR63" s="323"/>
      <c r="IS63" s="323"/>
      <c r="IT63" s="323"/>
      <c r="IU63" s="323"/>
      <c r="IV63" s="286"/>
      <c r="IW63" s="286"/>
      <c r="IX63" s="286"/>
      <c r="IY63" s="286"/>
      <c r="IZ63" s="286"/>
      <c r="JA63" s="286"/>
      <c r="JB63" s="339">
        <v>28305</v>
      </c>
      <c r="JC63" s="249"/>
      <c r="JD63" s="119"/>
      <c r="JE63" s="249"/>
      <c r="JF63" s="249"/>
      <c r="JG63" s="119"/>
    </row>
    <row r="64" spans="1:267" ht="24.95" customHeight="1">
      <c r="A64" s="901" t="s">
        <v>570</v>
      </c>
      <c r="B64" s="56" t="s">
        <v>28</v>
      </c>
      <c r="C64" s="56" t="s">
        <v>113</v>
      </c>
      <c r="D64" s="57">
        <v>2017</v>
      </c>
      <c r="E64" s="56"/>
      <c r="F64" s="57" t="s">
        <v>58</v>
      </c>
      <c r="G64" s="847"/>
      <c r="H64" s="57" t="s">
        <v>259</v>
      </c>
      <c r="I64" s="57"/>
      <c r="J64" s="56" t="s">
        <v>485</v>
      </c>
      <c r="K64" s="272"/>
      <c r="L64" s="176"/>
      <c r="M64" s="177"/>
      <c r="N64" s="178"/>
      <c r="O64" s="223">
        <v>10895</v>
      </c>
      <c r="P64" s="223">
        <v>949780</v>
      </c>
      <c r="Q64" s="229">
        <f>P64</f>
        <v>949780</v>
      </c>
      <c r="R64" s="217">
        <f t="shared" si="279"/>
        <v>25669.72972972973</v>
      </c>
      <c r="S64" s="223">
        <f t="shared" si="280"/>
        <v>87.175768701239107</v>
      </c>
      <c r="T64" s="229">
        <f t="shared" si="281"/>
        <v>87.175768701239107</v>
      </c>
      <c r="U64" s="229">
        <f t="shared" si="282"/>
        <v>296.99372729035201</v>
      </c>
      <c r="V64" s="229">
        <f t="shared" si="283"/>
        <v>25669.72972972973</v>
      </c>
      <c r="W64" s="217">
        <f t="shared" si="284"/>
        <v>294.45945945945948</v>
      </c>
      <c r="X64" s="227"/>
      <c r="Y64" s="228">
        <f t="shared" si="285"/>
        <v>0.2935273061037173</v>
      </c>
      <c r="Z64" s="227"/>
      <c r="AA64" s="230">
        <v>650</v>
      </c>
      <c r="AB64" s="226"/>
      <c r="AC64" s="57" t="s">
        <v>16</v>
      </c>
      <c r="AD64" s="342">
        <f t="shared" si="286"/>
        <v>37</v>
      </c>
      <c r="AE64" s="67"/>
      <c r="AF64" s="56">
        <v>37</v>
      </c>
      <c r="AG64" s="56"/>
      <c r="AH64" s="56"/>
      <c r="AI64" s="61">
        <v>3196.53</v>
      </c>
      <c r="AJ64" s="562">
        <v>3197.98</v>
      </c>
      <c r="AK64" s="10">
        <f t="shared" si="287"/>
        <v>86.431891891891894</v>
      </c>
      <c r="AL64" s="63"/>
      <c r="AM64" s="63"/>
      <c r="AN64" s="63"/>
      <c r="AO64" s="63"/>
      <c r="AP64" s="63"/>
      <c r="AQ64" s="61"/>
      <c r="AR64" s="80"/>
      <c r="AS64" s="82"/>
      <c r="AT64" s="61"/>
      <c r="AU64" s="57" t="s">
        <v>625</v>
      </c>
      <c r="AV64" s="57"/>
      <c r="AW64" s="200">
        <v>42761</v>
      </c>
      <c r="AX64" s="200">
        <v>42761</v>
      </c>
      <c r="AY64" s="114"/>
      <c r="AZ64" s="114"/>
      <c r="BA64" s="303"/>
      <c r="BB64" s="214">
        <v>42998</v>
      </c>
      <c r="BC64" s="101"/>
      <c r="BD64" s="101"/>
      <c r="BE64" s="214"/>
      <c r="BF64" s="101"/>
      <c r="BG64" s="170"/>
      <c r="BH64" s="213"/>
      <c r="BI64" s="170"/>
      <c r="BJ64" s="170"/>
      <c r="BK64" s="102"/>
      <c r="BL64" s="198">
        <f t="shared" si="288"/>
        <v>731</v>
      </c>
      <c r="BM64" s="198">
        <f t="shared" si="289"/>
        <v>1096</v>
      </c>
      <c r="BN64" s="198"/>
      <c r="BO64" s="170"/>
      <c r="BP64" s="170"/>
      <c r="BQ64" s="106"/>
      <c r="BR64" s="106"/>
      <c r="BS64" s="106"/>
      <c r="BT64" s="106"/>
      <c r="BU64" s="168"/>
      <c r="BV64" s="266"/>
      <c r="BW64" s="266"/>
      <c r="BX64" s="167">
        <v>6377000.5999999996</v>
      </c>
      <c r="BY64" s="266"/>
      <c r="BZ64" s="266"/>
      <c r="CA64" s="266"/>
      <c r="CB64" s="266"/>
      <c r="CC64" s="780"/>
      <c r="CD64" s="617"/>
      <c r="CE64" s="452">
        <v>43274</v>
      </c>
      <c r="CF64" s="445"/>
      <c r="CG64" s="600">
        <f t="shared" si="290"/>
        <v>9.1999999999999993</v>
      </c>
      <c r="CH64" s="260">
        <v>17</v>
      </c>
      <c r="CI64" s="260">
        <f t="shared" si="291"/>
        <v>18</v>
      </c>
      <c r="CJ64" s="255">
        <f t="shared" si="292"/>
        <v>17</v>
      </c>
      <c r="CK64" s="255">
        <f t="shared" si="293"/>
        <v>18</v>
      </c>
      <c r="CL64" s="255">
        <f t="shared" si="294"/>
        <v>0</v>
      </c>
      <c r="CM64" s="255">
        <f t="shared" si="295"/>
        <v>0</v>
      </c>
      <c r="CN64" s="261"/>
      <c r="CO64" s="261">
        <f t="shared" si="296"/>
        <v>0</v>
      </c>
      <c r="CP64" s="256"/>
      <c r="CQ64" s="797">
        <f t="shared" si="297"/>
        <v>43792</v>
      </c>
      <c r="CR64" s="454">
        <f t="shared" si="298"/>
        <v>43792</v>
      </c>
      <c r="CS64" s="752">
        <f t="shared" si="299"/>
        <v>731</v>
      </c>
      <c r="CT64" s="256"/>
      <c r="CU64" s="883" t="e">
        <f t="shared" si="300"/>
        <v>#NUM!</v>
      </c>
      <c r="CV64" s="256"/>
      <c r="CW64" s="749">
        <f t="shared" si="301"/>
        <v>43822</v>
      </c>
      <c r="CX64" s="612">
        <f t="shared" si="302"/>
        <v>43822</v>
      </c>
      <c r="CY64" s="753"/>
      <c r="CZ64" s="122"/>
      <c r="DA64" s="127"/>
      <c r="DB64" s="127"/>
      <c r="DC64" s="127"/>
      <c r="DD64" s="127"/>
      <c r="DE64" s="127"/>
      <c r="DF64" s="57"/>
      <c r="DG64" s="296">
        <f t="shared" si="303"/>
        <v>44158</v>
      </c>
      <c r="DH64" s="57"/>
      <c r="DI64" s="57"/>
      <c r="DJ64" s="57"/>
      <c r="DK64" s="57"/>
      <c r="DL64" s="57"/>
      <c r="DM64" s="57"/>
      <c r="DN64" s="57"/>
      <c r="DO64" s="57"/>
      <c r="DP64" s="57"/>
      <c r="DQ64" s="57"/>
      <c r="DR64" s="57"/>
      <c r="DS64" s="57"/>
      <c r="DT64" s="126"/>
      <c r="DU64" s="126"/>
      <c r="DV64" s="126"/>
      <c r="DW64" s="691" t="str">
        <f t="shared" si="304"/>
        <v>0</v>
      </c>
      <c r="DX64" s="126"/>
      <c r="DY64" s="126"/>
      <c r="DZ64" s="691" t="str">
        <f t="shared" si="305"/>
        <v>0</v>
      </c>
      <c r="EA64" s="340"/>
      <c r="EB64" s="340"/>
      <c r="EC64" s="691" t="str">
        <f t="shared" si="306"/>
        <v>0</v>
      </c>
      <c r="ED64" s="713"/>
      <c r="EE64" s="713"/>
      <c r="EF64" s="715" t="str">
        <f t="shared" si="307"/>
        <v>0</v>
      </c>
      <c r="EG64" s="713"/>
      <c r="EH64" s="713">
        <f ca="1">IF(EG64&lt;TODAY(),TODAY(),EG64)</f>
        <v>43188</v>
      </c>
      <c r="EI64" s="715" t="str">
        <f t="shared" ca="1" si="308"/>
        <v>0</v>
      </c>
      <c r="EJ64" s="714"/>
      <c r="EK64" s="706"/>
      <c r="EL64" s="701">
        <f t="shared" ca="1" si="342"/>
        <v>43188</v>
      </c>
      <c r="EM64" s="697" t="str">
        <f t="shared" ca="1" si="309"/>
        <v>0</v>
      </c>
      <c r="EN64" s="706"/>
      <c r="EO64" s="701">
        <f t="shared" ca="1" si="310"/>
        <v>43188</v>
      </c>
      <c r="EP64" s="697" t="str">
        <f t="shared" ca="1" si="311"/>
        <v>0</v>
      </c>
      <c r="EQ64" s="701"/>
      <c r="ER64" s="701">
        <f t="shared" ca="1" si="312"/>
        <v>43188</v>
      </c>
      <c r="ES64" s="697" t="str">
        <f t="shared" ca="1" si="313"/>
        <v>0</v>
      </c>
      <c r="ET64" s="701"/>
      <c r="EU64" s="722">
        <f t="shared" ca="1" si="314"/>
        <v>43188</v>
      </c>
      <c r="EV64" s="698" t="str">
        <f t="shared" ca="1" si="315"/>
        <v>0</v>
      </c>
      <c r="EW64" s="701"/>
      <c r="EX64" s="701">
        <f t="shared" ca="1" si="316"/>
        <v>43188</v>
      </c>
      <c r="EY64" s="697" t="str">
        <f t="shared" ca="1" si="317"/>
        <v>0</v>
      </c>
      <c r="EZ64" s="701"/>
      <c r="FA64" s="701">
        <f t="shared" ca="1" si="318"/>
        <v>43188</v>
      </c>
      <c r="FB64" s="697" t="str">
        <f t="shared" ca="1" si="319"/>
        <v>0</v>
      </c>
      <c r="FC64" s="701"/>
      <c r="FD64" s="701">
        <f ca="1">IF(FC64&lt;TODAY(),TODAY(),FC64)</f>
        <v>43188</v>
      </c>
      <c r="FE64" s="697" t="str">
        <f t="shared" ca="1" si="320"/>
        <v>0</v>
      </c>
      <c r="FF64" s="701"/>
      <c r="FG64" s="701">
        <f ca="1">IF(FF64&lt;TODAY(),TODAY(),FF64)</f>
        <v>43188</v>
      </c>
      <c r="FH64" s="697" t="str">
        <f t="shared" ca="1" si="321"/>
        <v>0</v>
      </c>
      <c r="FI64" s="701"/>
      <c r="FJ64" s="701">
        <f ca="1">IF(FI64&lt;TODAY(),TODAY(),FI64)</f>
        <v>43188</v>
      </c>
      <c r="FK64" s="697" t="str">
        <f t="shared" ca="1" si="322"/>
        <v>0</v>
      </c>
      <c r="FL64" s="701"/>
      <c r="FM64" s="701"/>
      <c r="FN64" s="701"/>
      <c r="FO64" s="701">
        <v>43678</v>
      </c>
      <c r="FP64" s="701">
        <f t="shared" si="323"/>
        <v>43792</v>
      </c>
      <c r="FQ64" s="699">
        <f ca="1">(DATEDIF(EO64,FO64,"d"))/30</f>
        <v>16.333333333333332</v>
      </c>
      <c r="FR64" s="701">
        <v>43707</v>
      </c>
      <c r="FS64" s="701">
        <f t="shared" si="324"/>
        <v>43822</v>
      </c>
      <c r="FT64" s="727">
        <v>0</v>
      </c>
      <c r="FU64" s="727">
        <v>0</v>
      </c>
      <c r="FV64" s="727"/>
      <c r="FW64" s="727"/>
      <c r="FX64" s="728">
        <f t="shared" ca="1" si="325"/>
        <v>0</v>
      </c>
      <c r="FY64" s="728">
        <f t="shared" si="326"/>
        <v>3.8333333333333335</v>
      </c>
      <c r="FZ64" s="724"/>
      <c r="GA64" s="741"/>
      <c r="GB64" s="741" t="s">
        <v>906</v>
      </c>
      <c r="GC64" s="724"/>
      <c r="GD64" s="117"/>
      <c r="GE64" s="117"/>
      <c r="GF64" s="95">
        <f>+GP64+GU64+HB64+HV64+HG64</f>
        <v>6545033</v>
      </c>
      <c r="GG64" s="70">
        <f t="shared" si="327"/>
        <v>6863538.2000000002</v>
      </c>
      <c r="GH64" s="96">
        <f t="shared" si="328"/>
        <v>318505.20000000019</v>
      </c>
      <c r="GI64" s="52">
        <f t="shared" si="329"/>
        <v>2147.1840401935847</v>
      </c>
      <c r="GJ64" s="52">
        <f t="shared" si="330"/>
        <v>185501.03243243243</v>
      </c>
      <c r="GK64" s="304"/>
      <c r="GL64" s="75">
        <v>6233418.6500000004</v>
      </c>
      <c r="GM64" s="13">
        <f t="shared" si="331"/>
        <v>6233418.6500000004</v>
      </c>
      <c r="GN64" s="136">
        <f t="shared" si="332"/>
        <v>0.92726524661143417</v>
      </c>
      <c r="GO64" s="137">
        <v>0.4</v>
      </c>
      <c r="GP64" s="304">
        <v>1969908</v>
      </c>
      <c r="GQ64" s="917">
        <v>2271739</v>
      </c>
      <c r="GR64" s="925"/>
      <c r="GS64" s="22">
        <f t="shared" si="333"/>
        <v>61398.351351351354</v>
      </c>
      <c r="GT64" s="38">
        <f>GQ64-GP64</f>
        <v>301831</v>
      </c>
      <c r="GU64" s="843">
        <v>3915125</v>
      </c>
      <c r="GV64" s="70">
        <f t="shared" si="343"/>
        <v>3931799.2</v>
      </c>
      <c r="GW64" s="314">
        <v>1087640.28</v>
      </c>
      <c r="GX64" s="314">
        <v>2844158.92</v>
      </c>
      <c r="GY64" s="38">
        <f t="shared" si="334"/>
        <v>16674.200000000186</v>
      </c>
      <c r="GZ64" s="888">
        <f t="shared" si="335"/>
        <v>106264.84324324325</v>
      </c>
      <c r="HA64" s="493"/>
      <c r="HB64" s="304">
        <v>660000</v>
      </c>
      <c r="HC64" s="75">
        <v>660000</v>
      </c>
      <c r="HD64" s="75"/>
      <c r="HE64" s="41">
        <f t="shared" si="40"/>
        <v>9.6160315680912212E-2</v>
      </c>
      <c r="HF64" s="500"/>
      <c r="HG64" s="75"/>
      <c r="HH64" s="23">
        <f t="shared" si="336"/>
        <v>0</v>
      </c>
      <c r="HI64" s="22">
        <f t="shared" si="41"/>
        <v>17837.837837837837</v>
      </c>
      <c r="HJ64" s="84">
        <f t="shared" si="115"/>
        <v>79236.189189189186</v>
      </c>
      <c r="HK64" s="23">
        <f t="shared" si="337"/>
        <v>0</v>
      </c>
      <c r="HL64" s="92">
        <v>5.15</v>
      </c>
      <c r="HM64" s="92">
        <v>5.0999999999999996</v>
      </c>
      <c r="HN64" s="563"/>
      <c r="HO64" s="563"/>
      <c r="HP64" s="22">
        <f t="shared" si="338"/>
        <v>71078.5945945946</v>
      </c>
      <c r="HQ64" s="563"/>
      <c r="HR64" s="22">
        <f t="shared" si="339"/>
        <v>79236.189189189186</v>
      </c>
      <c r="HS64" s="53">
        <f t="shared" si="340"/>
        <v>0.4018173781553126</v>
      </c>
      <c r="HT64" s="563"/>
      <c r="HU64" s="563"/>
      <c r="HV64" s="75"/>
      <c r="HW64" s="98">
        <f t="shared" si="341"/>
        <v>6545033</v>
      </c>
      <c r="HX64" s="293"/>
      <c r="HY64" s="293">
        <f t="shared" si="344"/>
        <v>0</v>
      </c>
      <c r="HZ64" s="294"/>
      <c r="IA64" s="293"/>
      <c r="IB64" s="293"/>
      <c r="IC64" s="287"/>
      <c r="ID64" s="287"/>
      <c r="IE64" s="623"/>
      <c r="IF64" s="287"/>
      <c r="IG64" s="290"/>
      <c r="IH64" s="287"/>
      <c r="II64" s="625"/>
      <c r="IJ64" s="295"/>
      <c r="IK64" s="300"/>
      <c r="IL64" s="298"/>
      <c r="IM64" s="298"/>
      <c r="IN64" s="292"/>
      <c r="IO64" s="297"/>
      <c r="IP64" s="292"/>
      <c r="IQ64" s="297"/>
      <c r="IR64" s="323"/>
      <c r="IS64" s="323"/>
      <c r="IT64" s="323"/>
      <c r="IU64" s="323"/>
      <c r="IV64" s="286"/>
      <c r="IW64" s="286"/>
      <c r="IX64" s="286"/>
      <c r="IY64" s="286"/>
      <c r="IZ64" s="286"/>
      <c r="JA64" s="286"/>
      <c r="JB64" s="293"/>
      <c r="JC64" s="288"/>
      <c r="JD64" s="295"/>
      <c r="JE64" s="288"/>
      <c r="JF64" s="288"/>
      <c r="JG64" s="295"/>
    </row>
    <row r="65" spans="1:267" ht="24.95" customHeight="1">
      <c r="A65" s="899" t="s">
        <v>453</v>
      </c>
      <c r="B65" s="56" t="s">
        <v>35</v>
      </c>
      <c r="C65" s="56" t="s">
        <v>113</v>
      </c>
      <c r="D65" s="56">
        <v>2017</v>
      </c>
      <c r="E65" s="56" t="s">
        <v>459</v>
      </c>
      <c r="F65" s="56" t="s">
        <v>424</v>
      </c>
      <c r="G65" s="56" t="s">
        <v>292</v>
      </c>
      <c r="H65" s="56" t="s">
        <v>180</v>
      </c>
      <c r="I65" s="56"/>
      <c r="J65" s="56" t="s">
        <v>454</v>
      </c>
      <c r="K65" s="272" t="s">
        <v>743</v>
      </c>
      <c r="L65" s="176"/>
      <c r="M65" s="177"/>
      <c r="N65" s="178"/>
      <c r="O65" s="217">
        <v>1976</v>
      </c>
      <c r="P65" s="217">
        <v>300000</v>
      </c>
      <c r="Q65" s="217"/>
      <c r="R65" s="217">
        <f t="shared" si="279"/>
        <v>12500</v>
      </c>
      <c r="S65" s="217">
        <f t="shared" si="280"/>
        <v>151.82186234817814</v>
      </c>
      <c r="T65" s="223">
        <f t="shared" si="281"/>
        <v>0</v>
      </c>
      <c r="U65" s="223">
        <f t="shared" si="282"/>
        <v>0</v>
      </c>
      <c r="V65" s="223">
        <f t="shared" si="283"/>
        <v>0</v>
      </c>
      <c r="W65" s="217">
        <f t="shared" si="284"/>
        <v>82.333333333333329</v>
      </c>
      <c r="X65" s="218"/>
      <c r="Y65" s="219">
        <f t="shared" si="285"/>
        <v>0.90862348178137653</v>
      </c>
      <c r="Z65" s="218" t="s">
        <v>192</v>
      </c>
      <c r="AA65" s="218">
        <v>590</v>
      </c>
      <c r="AB65" s="219"/>
      <c r="AC65" s="56" t="s">
        <v>16</v>
      </c>
      <c r="AD65" s="342">
        <f t="shared" si="286"/>
        <v>24</v>
      </c>
      <c r="AE65" s="67"/>
      <c r="AF65" s="56">
        <v>24</v>
      </c>
      <c r="AG65" s="56"/>
      <c r="AH65" s="56"/>
      <c r="AI65" s="60">
        <v>1779.08</v>
      </c>
      <c r="AJ65" s="237">
        <v>1795.44</v>
      </c>
      <c r="AK65" s="10">
        <f t="shared" si="287"/>
        <v>74.81</v>
      </c>
      <c r="AL65" s="81">
        <f>3/AF65</f>
        <v>0.125</v>
      </c>
      <c r="AM65" s="81">
        <f>9/AF65</f>
        <v>0.375</v>
      </c>
      <c r="AN65" s="81">
        <f>6/AF65</f>
        <v>0.25</v>
      </c>
      <c r="AO65" s="81">
        <f>3/AF65</f>
        <v>0.125</v>
      </c>
      <c r="AP65" s="81">
        <f>3/AF65</f>
        <v>0.125</v>
      </c>
      <c r="AQ65" s="60"/>
      <c r="AR65" s="192"/>
      <c r="AS65" s="111"/>
      <c r="AT65" s="60">
        <v>4</v>
      </c>
      <c r="AU65" s="59" t="s">
        <v>626</v>
      </c>
      <c r="AV65" s="56" t="s">
        <v>121</v>
      </c>
      <c r="AW65" s="250">
        <v>42761</v>
      </c>
      <c r="AX65" s="56"/>
      <c r="AY65" s="114"/>
      <c r="AZ65" s="114"/>
      <c r="BA65" s="99"/>
      <c r="BB65" s="214">
        <v>42916</v>
      </c>
      <c r="BC65" s="101">
        <v>43010</v>
      </c>
      <c r="BD65" s="101"/>
      <c r="BE65" s="214"/>
      <c r="BF65" s="101"/>
      <c r="BG65" s="170"/>
      <c r="BH65" s="213"/>
      <c r="BI65" s="170"/>
      <c r="BJ65" s="170"/>
      <c r="BK65" s="102"/>
      <c r="BL65" s="198">
        <f t="shared" si="288"/>
        <v>731</v>
      </c>
      <c r="BM65" s="198">
        <f t="shared" si="289"/>
        <v>1096</v>
      </c>
      <c r="BN65" s="198"/>
      <c r="BO65" s="170"/>
      <c r="BP65" s="173"/>
      <c r="BQ65" s="102"/>
      <c r="BR65" s="103"/>
      <c r="BS65" s="103"/>
      <c r="BT65" s="103"/>
      <c r="BU65" s="168"/>
      <c r="BV65" s="172"/>
      <c r="BW65" s="266"/>
      <c r="BX65" s="167"/>
      <c r="BY65" s="172"/>
      <c r="BZ65" s="266"/>
      <c r="CA65" s="266"/>
      <c r="CB65" s="266" t="s">
        <v>172</v>
      </c>
      <c r="CC65" s="781"/>
      <c r="CD65" s="615"/>
      <c r="CE65" s="452">
        <v>43378</v>
      </c>
      <c r="CF65" s="445"/>
      <c r="CG65" s="600">
        <f t="shared" si="290"/>
        <v>15.4</v>
      </c>
      <c r="CH65" s="260">
        <v>15</v>
      </c>
      <c r="CI65" s="260">
        <f t="shared" si="291"/>
        <v>16</v>
      </c>
      <c r="CJ65" s="255">
        <f t="shared" si="292"/>
        <v>15</v>
      </c>
      <c r="CK65" s="255">
        <f t="shared" si="293"/>
        <v>16</v>
      </c>
      <c r="CL65" s="255">
        <f t="shared" si="294"/>
        <v>0</v>
      </c>
      <c r="CM65" s="255">
        <f t="shared" si="295"/>
        <v>0</v>
      </c>
      <c r="CN65" s="261"/>
      <c r="CO65" s="261">
        <f t="shared" si="296"/>
        <v>0</v>
      </c>
      <c r="CP65" s="256"/>
      <c r="CQ65" s="797">
        <f t="shared" si="297"/>
        <v>43835</v>
      </c>
      <c r="CR65" s="454">
        <f t="shared" si="298"/>
        <v>43835</v>
      </c>
      <c r="CS65" s="752">
        <f t="shared" si="299"/>
        <v>731</v>
      </c>
      <c r="CT65" s="256"/>
      <c r="CU65" s="883" t="e">
        <f t="shared" si="300"/>
        <v>#NUM!</v>
      </c>
      <c r="CV65" s="256"/>
      <c r="CW65" s="749">
        <f t="shared" si="301"/>
        <v>43866</v>
      </c>
      <c r="CX65" s="612">
        <f t="shared" si="302"/>
        <v>43866</v>
      </c>
      <c r="CY65" s="753"/>
      <c r="CZ65" s="122"/>
      <c r="DA65" s="125"/>
      <c r="DB65" s="125"/>
      <c r="DC65" s="125"/>
      <c r="DD65" s="125"/>
      <c r="DE65" s="125"/>
      <c r="DF65" s="56"/>
      <c r="DG65" s="296">
        <f t="shared" si="303"/>
        <v>44201</v>
      </c>
      <c r="DH65" s="56"/>
      <c r="DI65" s="56"/>
      <c r="DJ65" s="56"/>
      <c r="DK65" s="56"/>
      <c r="DL65" s="56"/>
      <c r="DM65" s="56"/>
      <c r="DN65" s="56"/>
      <c r="DO65" s="56"/>
      <c r="DP65" s="56"/>
      <c r="DQ65" s="56"/>
      <c r="DR65" s="56"/>
      <c r="DS65" s="56"/>
      <c r="DT65" s="340">
        <v>42583</v>
      </c>
      <c r="DU65" s="126">
        <v>42598</v>
      </c>
      <c r="DV65" s="126">
        <v>42583</v>
      </c>
      <c r="DW65" s="691">
        <f t="shared" si="304"/>
        <v>-15</v>
      </c>
      <c r="DX65" s="126">
        <v>42692</v>
      </c>
      <c r="DY65" s="340">
        <v>42695</v>
      </c>
      <c r="DZ65" s="691">
        <f t="shared" si="305"/>
        <v>3</v>
      </c>
      <c r="EA65" s="340">
        <v>42753</v>
      </c>
      <c r="EB65" s="340">
        <v>42751</v>
      </c>
      <c r="EC65" s="691">
        <f t="shared" si="306"/>
        <v>-2</v>
      </c>
      <c r="ED65" s="126">
        <v>42829</v>
      </c>
      <c r="EE65" s="340">
        <v>43083</v>
      </c>
      <c r="EF65" s="691">
        <f t="shared" si="307"/>
        <v>254</v>
      </c>
      <c r="EG65" s="713">
        <v>42905</v>
      </c>
      <c r="EH65" s="713">
        <f ca="1">IF(EG65&lt;TODAY(),TODAY(),EG65)</f>
        <v>43188</v>
      </c>
      <c r="EI65" s="715">
        <f t="shared" ca="1" si="308"/>
        <v>283</v>
      </c>
      <c r="EJ65" s="718"/>
      <c r="EK65" s="706">
        <v>43154</v>
      </c>
      <c r="EL65" s="701">
        <f t="shared" ca="1" si="342"/>
        <v>43188</v>
      </c>
      <c r="EM65" s="697">
        <f t="shared" ca="1" si="309"/>
        <v>34</v>
      </c>
      <c r="EN65" s="706">
        <v>43167</v>
      </c>
      <c r="EO65" s="701">
        <f t="shared" ca="1" si="310"/>
        <v>43188</v>
      </c>
      <c r="EP65" s="697">
        <f t="shared" ca="1" si="311"/>
        <v>21</v>
      </c>
      <c r="EQ65" s="695"/>
      <c r="ER65" s="701">
        <f t="shared" ca="1" si="312"/>
        <v>43188</v>
      </c>
      <c r="ES65" s="697" t="str">
        <f t="shared" ca="1" si="313"/>
        <v>0</v>
      </c>
      <c r="ET65" s="695"/>
      <c r="EU65" s="722">
        <f t="shared" ca="1" si="314"/>
        <v>43188</v>
      </c>
      <c r="EV65" s="698" t="str">
        <f t="shared" ca="1" si="315"/>
        <v>0</v>
      </c>
      <c r="EW65" s="701"/>
      <c r="EX65" s="701">
        <f t="shared" ca="1" si="316"/>
        <v>43188</v>
      </c>
      <c r="EY65" s="697" t="str">
        <f t="shared" ca="1" si="317"/>
        <v>0</v>
      </c>
      <c r="EZ65" s="701"/>
      <c r="FA65" s="701">
        <f t="shared" ca="1" si="318"/>
        <v>43188</v>
      </c>
      <c r="FB65" s="697" t="str">
        <f t="shared" ca="1" si="319"/>
        <v>0</v>
      </c>
      <c r="FC65" s="701"/>
      <c r="FD65" s="701">
        <f ca="1">IF(FC65&lt;TODAY(),TODAY(),FC65)</f>
        <v>43188</v>
      </c>
      <c r="FE65" s="697" t="str">
        <f t="shared" ca="1" si="320"/>
        <v>0</v>
      </c>
      <c r="FF65" s="701"/>
      <c r="FG65" s="701">
        <f ca="1">IF(FF65&lt;TODAY(),TODAY(),FF65)</f>
        <v>43188</v>
      </c>
      <c r="FH65" s="697" t="str">
        <f t="shared" ca="1" si="321"/>
        <v>0</v>
      </c>
      <c r="FI65" s="701"/>
      <c r="FJ65" s="701">
        <f ca="1">IF(FI65&lt;TODAY(),TODAY(),FI65)</f>
        <v>43188</v>
      </c>
      <c r="FK65" s="697" t="str">
        <f t="shared" ca="1" si="322"/>
        <v>0</v>
      </c>
      <c r="FL65" s="701"/>
      <c r="FM65" s="701"/>
      <c r="FN65" s="701"/>
      <c r="FO65" s="701">
        <v>43840</v>
      </c>
      <c r="FP65" s="701">
        <f t="shared" si="323"/>
        <v>43835</v>
      </c>
      <c r="FQ65" s="699">
        <f ca="1">(DATEDIF(EO65,FO65,"d"))/30</f>
        <v>21.733333333333334</v>
      </c>
      <c r="FR65" s="701">
        <v>43872</v>
      </c>
      <c r="FS65" s="701">
        <f t="shared" si="324"/>
        <v>43866</v>
      </c>
      <c r="FT65" s="727">
        <v>0</v>
      </c>
      <c r="FU65" s="727">
        <v>0</v>
      </c>
      <c r="FV65" s="727"/>
      <c r="FW65" s="727"/>
      <c r="FX65" s="728">
        <f t="shared" ca="1" si="325"/>
        <v>19.266666666666666</v>
      </c>
      <c r="FY65" s="728">
        <f t="shared" si="326"/>
        <v>-0.2</v>
      </c>
      <c r="FZ65" s="724"/>
      <c r="GA65" s="741"/>
      <c r="GB65" s="741" t="s">
        <v>908</v>
      </c>
      <c r="GC65" s="724"/>
      <c r="GD65" s="117"/>
      <c r="GE65" s="117"/>
      <c r="GF65" s="95">
        <f>+GP65+GU65+HB65+HV65+HG65</f>
        <v>3891130.6767742028</v>
      </c>
      <c r="GG65" s="70">
        <f t="shared" si="327"/>
        <v>3965464</v>
      </c>
      <c r="GH65" s="13">
        <f t="shared" si="328"/>
        <v>74333.323225797154</v>
      </c>
      <c r="GI65" s="52">
        <f t="shared" si="329"/>
        <v>2228.9408008633677</v>
      </c>
      <c r="GJ65" s="52">
        <f t="shared" si="330"/>
        <v>165227.66666666666</v>
      </c>
      <c r="GK65" s="95">
        <v>3537549.5398594467</v>
      </c>
      <c r="GL65" s="70">
        <v>3653732</v>
      </c>
      <c r="GM65" s="13">
        <f t="shared" si="331"/>
        <v>116182.4601405533</v>
      </c>
      <c r="GN65" s="136">
        <f t="shared" si="332"/>
        <v>0.94073741988327209</v>
      </c>
      <c r="GO65" s="136">
        <v>0.4</v>
      </c>
      <c r="GP65" s="95">
        <v>1224437.8025662941</v>
      </c>
      <c r="GQ65" s="917">
        <v>1275241</v>
      </c>
      <c r="GR65" s="925"/>
      <c r="GS65" s="22">
        <f t="shared" si="333"/>
        <v>53135.041666666664</v>
      </c>
      <c r="GT65" s="97"/>
      <c r="GU65" s="842">
        <v>2131692.8742079088</v>
      </c>
      <c r="GV65" s="70">
        <f t="shared" si="343"/>
        <v>2155223</v>
      </c>
      <c r="GW65" s="89">
        <v>416308</v>
      </c>
      <c r="GX65" s="89">
        <v>1738915</v>
      </c>
      <c r="GY65" s="38">
        <f t="shared" si="334"/>
        <v>23530.125792091247</v>
      </c>
      <c r="GZ65" s="888">
        <f t="shared" si="335"/>
        <v>89800.958333333328</v>
      </c>
      <c r="HA65" s="493"/>
      <c r="HB65" s="95">
        <v>480000</v>
      </c>
      <c r="HC65" s="12">
        <v>480000</v>
      </c>
      <c r="HD65" s="70"/>
      <c r="HE65" s="41">
        <f t="shared" si="40"/>
        <v>0.12104510342295378</v>
      </c>
      <c r="HF65" s="500"/>
      <c r="HG65" s="70">
        <f>30000+25000</f>
        <v>55000</v>
      </c>
      <c r="HH65" s="23">
        <f t="shared" si="336"/>
        <v>0</v>
      </c>
      <c r="HI65" s="22">
        <f t="shared" si="41"/>
        <v>20000</v>
      </c>
      <c r="HJ65" s="84">
        <f t="shared" si="115"/>
        <v>73135.041666666672</v>
      </c>
      <c r="HK65" s="23">
        <f t="shared" si="337"/>
        <v>0</v>
      </c>
      <c r="HL65" s="92">
        <v>5.38</v>
      </c>
      <c r="HM65" s="92">
        <v>5.38</v>
      </c>
      <c r="HN65" s="93"/>
      <c r="HO65" s="93"/>
      <c r="HP65" s="22">
        <f t="shared" si="338"/>
        <v>71018.241773595582</v>
      </c>
      <c r="HQ65" s="93"/>
      <c r="HR65" s="22">
        <f t="shared" si="339"/>
        <v>73135.041666666672</v>
      </c>
      <c r="HS65" s="53">
        <f t="shared" si="340"/>
        <v>0.43803149884940251</v>
      </c>
      <c r="HT65" s="93"/>
      <c r="HU65" s="93"/>
      <c r="HV65" s="70"/>
      <c r="HW65" s="42">
        <f t="shared" si="341"/>
        <v>3891130.6767742028</v>
      </c>
      <c r="HX65" s="293">
        <v>193785</v>
      </c>
      <c r="HY65" s="293">
        <f t="shared" si="344"/>
        <v>97910</v>
      </c>
      <c r="HZ65" s="118">
        <v>42562</v>
      </c>
      <c r="IA65" s="339">
        <v>19202</v>
      </c>
      <c r="IB65" s="339"/>
      <c r="IC65" s="341"/>
      <c r="ID65" s="341" t="s">
        <v>591</v>
      </c>
      <c r="IE65" s="339">
        <v>9745</v>
      </c>
      <c r="IF65" s="341">
        <v>42696</v>
      </c>
      <c r="IG65" s="243">
        <v>18750</v>
      </c>
      <c r="IH65" s="118">
        <v>42837</v>
      </c>
      <c r="II65" s="243">
        <v>29816</v>
      </c>
      <c r="IJ65" s="118">
        <v>43181</v>
      </c>
      <c r="IK65" s="403">
        <v>20397</v>
      </c>
      <c r="IL65" s="338"/>
      <c r="IM65" s="338"/>
      <c r="IN65" s="292"/>
      <c r="IO65" s="293"/>
      <c r="IP65" s="292"/>
      <c r="IQ65" s="293"/>
      <c r="IR65" s="323"/>
      <c r="IS65" s="323"/>
      <c r="IT65" s="323"/>
      <c r="IU65" s="323"/>
      <c r="IV65" s="286"/>
      <c r="IW65" s="286"/>
      <c r="IX65" s="286"/>
      <c r="IY65" s="286"/>
      <c r="IZ65" s="286"/>
      <c r="JA65" s="286"/>
      <c r="JB65" s="339">
        <v>18750</v>
      </c>
      <c r="JC65" s="126"/>
      <c r="JD65" s="119"/>
      <c r="JE65" s="126"/>
      <c r="JF65" s="126"/>
      <c r="JG65" s="119"/>
    </row>
    <row r="66" spans="1:267" ht="24.95" customHeight="1">
      <c r="A66" s="930" t="s">
        <v>43</v>
      </c>
      <c r="B66" s="56" t="s">
        <v>35</v>
      </c>
      <c r="C66" s="56" t="s">
        <v>113</v>
      </c>
      <c r="D66" s="56">
        <v>2016</v>
      </c>
      <c r="E66" s="56" t="s">
        <v>44</v>
      </c>
      <c r="F66" s="56" t="s">
        <v>58</v>
      </c>
      <c r="G66" s="81" t="s">
        <v>519</v>
      </c>
      <c r="H66" s="56" t="s">
        <v>259</v>
      </c>
      <c r="I66" s="81"/>
      <c r="J66" s="56"/>
      <c r="K66" s="272" t="s">
        <v>580</v>
      </c>
      <c r="L66" s="327" t="s">
        <v>65</v>
      </c>
      <c r="M66" s="327" t="s">
        <v>72</v>
      </c>
      <c r="N66" s="327"/>
      <c r="O66" s="217">
        <v>2433</v>
      </c>
      <c r="P66" s="217">
        <f>Q66</f>
        <v>487212</v>
      </c>
      <c r="Q66" s="217">
        <v>487212</v>
      </c>
      <c r="R66" s="217">
        <f t="shared" si="279"/>
        <v>16240.4</v>
      </c>
      <c r="S66" s="217">
        <f t="shared" si="280"/>
        <v>200.25154130702836</v>
      </c>
      <c r="T66" s="217">
        <f t="shared" si="281"/>
        <v>200.25154130702836</v>
      </c>
      <c r="U66" s="217">
        <f t="shared" si="282"/>
        <v>190.87340453038934</v>
      </c>
      <c r="V66" s="217">
        <f t="shared" si="283"/>
        <v>16240.4</v>
      </c>
      <c r="W66" s="217">
        <f t="shared" si="284"/>
        <v>81.099999999999994</v>
      </c>
      <c r="X66" s="218">
        <v>782</v>
      </c>
      <c r="Y66" s="219">
        <f t="shared" si="285"/>
        <v>1.0491327579120426</v>
      </c>
      <c r="Z66" s="218" t="s">
        <v>198</v>
      </c>
      <c r="AA66" s="218">
        <v>528</v>
      </c>
      <c r="AB66" s="219">
        <v>0.05</v>
      </c>
      <c r="AC66" s="56" t="s">
        <v>15</v>
      </c>
      <c r="AD66" s="342">
        <f t="shared" si="286"/>
        <v>30</v>
      </c>
      <c r="AE66" s="56">
        <v>30</v>
      </c>
      <c r="AF66" s="67"/>
      <c r="AG66" s="67"/>
      <c r="AH66" s="67"/>
      <c r="AI66" s="60">
        <v>2526.1</v>
      </c>
      <c r="AJ66" s="94">
        <v>2552.54</v>
      </c>
      <c r="AK66" s="60">
        <f t="shared" si="287"/>
        <v>85.084666666666664</v>
      </c>
      <c r="AL66" s="81">
        <f>4/AD66</f>
        <v>0.13333333333333333</v>
      </c>
      <c r="AM66" s="81">
        <f>7/AD66</f>
        <v>0.23333333333333334</v>
      </c>
      <c r="AN66" s="81">
        <f>9/AD66</f>
        <v>0.3</v>
      </c>
      <c r="AO66" s="81">
        <f>8/AD66</f>
        <v>0.26666666666666666</v>
      </c>
      <c r="AP66" s="81">
        <f>2/AD66</f>
        <v>6.6666666666666666E-2</v>
      </c>
      <c r="AQ66" s="60"/>
      <c r="AR66" s="79">
        <v>0</v>
      </c>
      <c r="AS66" s="81">
        <f>AR66/O66</f>
        <v>0</v>
      </c>
      <c r="AT66" s="60">
        <v>4.5</v>
      </c>
      <c r="AU66" s="59" t="s">
        <v>626</v>
      </c>
      <c r="AV66" s="56" t="s">
        <v>121</v>
      </c>
      <c r="AW66" s="311" t="s">
        <v>343</v>
      </c>
      <c r="AX66" s="252">
        <v>40816</v>
      </c>
      <c r="AY66" s="114" t="s">
        <v>12</v>
      </c>
      <c r="AZ66" s="114" t="s">
        <v>148</v>
      </c>
      <c r="BA66" s="303"/>
      <c r="BB66" s="214">
        <v>42618</v>
      </c>
      <c r="BC66" s="101">
        <v>42646</v>
      </c>
      <c r="BD66" s="101">
        <v>41807</v>
      </c>
      <c r="BE66" s="214">
        <v>41831</v>
      </c>
      <c r="BF66" s="101"/>
      <c r="BG66" s="175"/>
      <c r="BH66" s="851"/>
      <c r="BI66" s="175"/>
      <c r="BJ66" s="175"/>
      <c r="BK66" s="102"/>
      <c r="BL66" s="198">
        <f t="shared" si="288"/>
        <v>731</v>
      </c>
      <c r="BM66" s="198">
        <f t="shared" si="289"/>
        <v>1096</v>
      </c>
      <c r="BN66" s="198"/>
      <c r="BO66" s="175"/>
      <c r="BP66" s="175"/>
      <c r="BQ66" s="102"/>
      <c r="BR66" s="103"/>
      <c r="BS66" s="103"/>
      <c r="BT66" s="106"/>
      <c r="BU66" s="168" t="s">
        <v>72</v>
      </c>
      <c r="BV66" s="266"/>
      <c r="BW66" s="266"/>
      <c r="BX66" s="167"/>
      <c r="BY66" s="266">
        <f>DATE(YEAR(BV66),MONTH(BV66)+18,DAY(BV66))</f>
        <v>547</v>
      </c>
      <c r="BZ66" s="266"/>
      <c r="CA66" s="266"/>
      <c r="CB66" s="266" t="s">
        <v>172</v>
      </c>
      <c r="CC66" s="781"/>
      <c r="CD66" s="615"/>
      <c r="CE66" s="452">
        <v>43291</v>
      </c>
      <c r="CF66" s="446"/>
      <c r="CG66" s="606">
        <f t="shared" si="290"/>
        <v>22.433333333333334</v>
      </c>
      <c r="CH66" s="262">
        <v>18</v>
      </c>
      <c r="CI66" s="262">
        <f t="shared" si="291"/>
        <v>19</v>
      </c>
      <c r="CJ66" s="255">
        <f t="shared" si="292"/>
        <v>18</v>
      </c>
      <c r="CK66" s="255">
        <f t="shared" si="293"/>
        <v>19</v>
      </c>
      <c r="CL66" s="255">
        <f t="shared" si="294"/>
        <v>0</v>
      </c>
      <c r="CM66" s="255">
        <f t="shared" si="295"/>
        <v>0</v>
      </c>
      <c r="CN66" s="261"/>
      <c r="CO66" s="261">
        <f t="shared" si="296"/>
        <v>0</v>
      </c>
      <c r="CP66" s="256"/>
      <c r="CQ66" s="797">
        <f t="shared" si="297"/>
        <v>43840</v>
      </c>
      <c r="CR66" s="454">
        <f t="shared" si="298"/>
        <v>43840</v>
      </c>
      <c r="CS66" s="752">
        <f t="shared" si="299"/>
        <v>731</v>
      </c>
      <c r="CT66" s="256"/>
      <c r="CU66" s="883" t="e">
        <f t="shared" si="300"/>
        <v>#NUM!</v>
      </c>
      <c r="CV66" s="256"/>
      <c r="CW66" s="749">
        <f t="shared" si="301"/>
        <v>43871</v>
      </c>
      <c r="CX66" s="612">
        <f t="shared" si="302"/>
        <v>43871</v>
      </c>
      <c r="CY66" s="753"/>
      <c r="CZ66" s="289"/>
      <c r="DA66" s="197"/>
      <c r="DB66" s="197"/>
      <c r="DC66" s="197"/>
      <c r="DD66" s="197"/>
      <c r="DE66" s="197"/>
      <c r="DF66" s="81"/>
      <c r="DG66" s="296">
        <f t="shared" si="303"/>
        <v>44206</v>
      </c>
      <c r="DH66" s="81"/>
      <c r="DI66" s="81"/>
      <c r="DJ66" s="81"/>
      <c r="DK66" s="81"/>
      <c r="DL66" s="81"/>
      <c r="DM66" s="81"/>
      <c r="DN66" s="81"/>
      <c r="DO66" s="81"/>
      <c r="DP66" s="81"/>
      <c r="DQ66" s="81"/>
      <c r="DR66" s="81"/>
      <c r="DS66" s="81"/>
      <c r="DT66" s="126"/>
      <c r="DU66" s="126"/>
      <c r="DV66" s="126">
        <v>40735</v>
      </c>
      <c r="DW66" s="691" t="str">
        <f t="shared" si="304"/>
        <v>0</v>
      </c>
      <c r="DX66" s="126">
        <v>40885</v>
      </c>
      <c r="DY66" s="126">
        <v>42404</v>
      </c>
      <c r="DZ66" s="691">
        <f t="shared" si="305"/>
        <v>1519</v>
      </c>
      <c r="EA66" s="126">
        <v>40865</v>
      </c>
      <c r="EB66" s="126">
        <v>40911</v>
      </c>
      <c r="EC66" s="691">
        <f t="shared" si="306"/>
        <v>46</v>
      </c>
      <c r="ED66" s="126">
        <v>40949</v>
      </c>
      <c r="EE66" s="126">
        <v>41416</v>
      </c>
      <c r="EF66" s="691">
        <f t="shared" si="307"/>
        <v>467</v>
      </c>
      <c r="EG66" s="126"/>
      <c r="EH66" s="126"/>
      <c r="EI66" s="715" t="str">
        <f t="shared" si="308"/>
        <v>0</v>
      </c>
      <c r="EJ66" s="719"/>
      <c r="EK66" s="701">
        <v>43276</v>
      </c>
      <c r="EL66" s="701">
        <f t="shared" ca="1" si="342"/>
        <v>43276</v>
      </c>
      <c r="EM66" s="697">
        <f t="shared" ca="1" si="309"/>
        <v>0</v>
      </c>
      <c r="EN66" s="706">
        <v>43291</v>
      </c>
      <c r="EO66" s="701">
        <f t="shared" ca="1" si="310"/>
        <v>43291</v>
      </c>
      <c r="EP66" s="697">
        <f t="shared" ca="1" si="311"/>
        <v>0</v>
      </c>
      <c r="EQ66" s="695"/>
      <c r="ER66" s="701">
        <f t="shared" ca="1" si="312"/>
        <v>43188</v>
      </c>
      <c r="ES66" s="697" t="str">
        <f t="shared" ca="1" si="313"/>
        <v>0</v>
      </c>
      <c r="ET66" s="695"/>
      <c r="EU66" s="722">
        <f t="shared" ca="1" si="314"/>
        <v>43188</v>
      </c>
      <c r="EV66" s="698" t="str">
        <f t="shared" ca="1" si="315"/>
        <v>0</v>
      </c>
      <c r="EW66" s="701"/>
      <c r="EX66" s="701">
        <f t="shared" ca="1" si="316"/>
        <v>43188</v>
      </c>
      <c r="EY66" s="697" t="str">
        <f t="shared" ca="1" si="317"/>
        <v>0</v>
      </c>
      <c r="EZ66" s="701"/>
      <c r="FA66" s="701">
        <f t="shared" ca="1" si="318"/>
        <v>43188</v>
      </c>
      <c r="FB66" s="697" t="str">
        <f t="shared" ca="1" si="319"/>
        <v>0</v>
      </c>
      <c r="FC66" s="701"/>
      <c r="FD66" s="701"/>
      <c r="FE66" s="697" t="str">
        <f t="shared" si="320"/>
        <v>0</v>
      </c>
      <c r="FF66" s="701"/>
      <c r="FG66" s="701"/>
      <c r="FH66" s="697" t="str">
        <f t="shared" si="321"/>
        <v>0</v>
      </c>
      <c r="FI66" s="701"/>
      <c r="FJ66" s="701"/>
      <c r="FK66" s="697" t="str">
        <f t="shared" si="322"/>
        <v>0</v>
      </c>
      <c r="FL66" s="701"/>
      <c r="FM66" s="701"/>
      <c r="FN66" s="701"/>
      <c r="FO66" s="701">
        <v>43693</v>
      </c>
      <c r="FP66" s="701">
        <f t="shared" si="323"/>
        <v>43840</v>
      </c>
      <c r="FQ66" s="699">
        <v>13.4</v>
      </c>
      <c r="FR66" s="701">
        <v>43707</v>
      </c>
      <c r="FS66" s="701">
        <f t="shared" si="324"/>
        <v>43871</v>
      </c>
      <c r="FT66" s="727">
        <v>0</v>
      </c>
      <c r="FU66" s="727">
        <v>0</v>
      </c>
      <c r="FV66" s="727"/>
      <c r="FW66" s="727"/>
      <c r="FX66" s="728">
        <f t="shared" ca="1" si="325"/>
        <v>67.733333333333334</v>
      </c>
      <c r="FY66" s="728">
        <f t="shared" si="326"/>
        <v>5.4666666666666668</v>
      </c>
      <c r="FZ66" s="724"/>
      <c r="GA66" s="741"/>
      <c r="GB66" s="741" t="s">
        <v>907</v>
      </c>
      <c r="GC66" s="741" t="s">
        <v>923</v>
      </c>
      <c r="GD66" s="117" t="s">
        <v>121</v>
      </c>
      <c r="GE66" s="117"/>
      <c r="GF66" s="95">
        <f>+GP66+GU66+HB66+HV66</f>
        <v>4943384.7071162229</v>
      </c>
      <c r="GG66" s="70">
        <f t="shared" si="327"/>
        <v>5371395</v>
      </c>
      <c r="GH66" s="96">
        <f t="shared" si="328"/>
        <v>428010.29288377706</v>
      </c>
      <c r="GI66" s="52">
        <f t="shared" si="329"/>
        <v>2126.3588139820276</v>
      </c>
      <c r="GJ66" s="52">
        <f t="shared" si="330"/>
        <v>179046.5</v>
      </c>
      <c r="GK66" s="95">
        <v>4257022.3269400001</v>
      </c>
      <c r="GL66" s="70">
        <v>4316430</v>
      </c>
      <c r="GM66" s="96">
        <f t="shared" si="331"/>
        <v>59407.673059999943</v>
      </c>
      <c r="GN66" s="136">
        <f t="shared" si="332"/>
        <v>0.82047122395578787</v>
      </c>
      <c r="GO66" s="137">
        <v>0.37030000000000002</v>
      </c>
      <c r="GP66" s="95">
        <v>1487646.5617181344</v>
      </c>
      <c r="GQ66" s="917">
        <v>1695164</v>
      </c>
      <c r="GR66" s="925"/>
      <c r="GS66" s="52">
        <f t="shared" si="333"/>
        <v>56505.466666666667</v>
      </c>
      <c r="GT66" s="97">
        <f>GQ66-GP66</f>
        <v>207517.43828186556</v>
      </c>
      <c r="GU66" s="95">
        <v>3185738.1453980887</v>
      </c>
      <c r="GV66" s="70">
        <f t="shared" si="343"/>
        <v>3406231</v>
      </c>
      <c r="GW66" s="89">
        <v>749753</v>
      </c>
      <c r="GX66" s="89">
        <v>2656478</v>
      </c>
      <c r="GY66" s="97">
        <f t="shared" si="334"/>
        <v>220492.85460191127</v>
      </c>
      <c r="GZ66" s="889">
        <f t="shared" si="335"/>
        <v>113541.03333333334</v>
      </c>
      <c r="HA66" s="70">
        <v>0</v>
      </c>
      <c r="HB66" s="95">
        <v>270000</v>
      </c>
      <c r="HC66" s="70">
        <v>270000</v>
      </c>
      <c r="HD66" s="70"/>
      <c r="HE66" s="90">
        <f t="shared" ref="HE66:HE104" si="345">HC66/GG66</f>
        <v>5.026627161100608E-2</v>
      </c>
      <c r="HF66" s="326"/>
      <c r="HG66" s="70">
        <v>0</v>
      </c>
      <c r="HH66" s="91">
        <f t="shared" si="336"/>
        <v>0</v>
      </c>
      <c r="HI66" s="84">
        <f t="shared" ref="HI66:HI104" si="346">HC66/AD66</f>
        <v>9000</v>
      </c>
      <c r="HJ66" s="84">
        <f t="shared" si="115"/>
        <v>65505.466666666667</v>
      </c>
      <c r="HK66" s="91">
        <f t="shared" si="337"/>
        <v>0</v>
      </c>
      <c r="HL66" s="92">
        <v>6.47</v>
      </c>
      <c r="HM66" s="92">
        <v>5.76</v>
      </c>
      <c r="HN66" s="93">
        <v>0</v>
      </c>
      <c r="HO66" s="93">
        <v>0</v>
      </c>
      <c r="HP66" s="52">
        <f t="shared" si="338"/>
        <v>58588.218723937818</v>
      </c>
      <c r="HQ66" s="93">
        <v>0</v>
      </c>
      <c r="HR66" s="52">
        <f t="shared" si="339"/>
        <v>65505.466666666667</v>
      </c>
      <c r="HS66" s="53">
        <f t="shared" si="340"/>
        <v>0.3555552856705495</v>
      </c>
      <c r="HT66" s="93"/>
      <c r="HU66" s="93"/>
      <c r="HV66" s="70">
        <f t="shared" ref="HV66:HV67" si="347">FU66</f>
        <v>0</v>
      </c>
      <c r="HW66" s="98">
        <f t="shared" si="341"/>
        <v>4943384.7071162229</v>
      </c>
      <c r="HX66" s="293">
        <v>236430</v>
      </c>
      <c r="HY66" s="293">
        <f t="shared" si="344"/>
        <v>184131.89400921657</v>
      </c>
      <c r="HZ66" s="118">
        <v>40779</v>
      </c>
      <c r="IA66" s="243">
        <v>3705</v>
      </c>
      <c r="IB66" s="243"/>
      <c r="IC66" s="118"/>
      <c r="ID66" s="118">
        <v>40892</v>
      </c>
      <c r="IE66" s="243">
        <v>11608</v>
      </c>
      <c r="IF66" s="118">
        <v>40892</v>
      </c>
      <c r="IG66" s="243">
        <v>42727</v>
      </c>
      <c r="IH66" s="118">
        <v>41193</v>
      </c>
      <c r="II66" s="243">
        <v>25155</v>
      </c>
      <c r="IJ66" s="119">
        <v>42615</v>
      </c>
      <c r="IK66" s="403">
        <v>35020</v>
      </c>
      <c r="IL66" s="338"/>
      <c r="IM66" s="338"/>
      <c r="IN66" s="292">
        <v>42719</v>
      </c>
      <c r="IO66" s="293">
        <v>65916.894009216587</v>
      </c>
      <c r="IP66" s="292"/>
      <c r="IQ66" s="293"/>
      <c r="IR66" s="324"/>
      <c r="IS66" s="324"/>
      <c r="IT66" s="324"/>
      <c r="IU66" s="324"/>
      <c r="IV66" s="286"/>
      <c r="IW66" s="286"/>
      <c r="IX66" s="286"/>
      <c r="IY66" s="286"/>
      <c r="IZ66" s="286"/>
      <c r="JA66" s="286"/>
      <c r="JB66" s="243">
        <v>42727</v>
      </c>
      <c r="JC66" s="126"/>
      <c r="JD66" s="119"/>
      <c r="JE66" s="126"/>
      <c r="JF66" s="204"/>
      <c r="JG66" s="309"/>
    </row>
    <row r="67" spans="1:267" ht="24.95" customHeight="1">
      <c r="A67" s="899" t="s">
        <v>374</v>
      </c>
      <c r="B67" s="56" t="s">
        <v>35</v>
      </c>
      <c r="C67" s="56" t="s">
        <v>113</v>
      </c>
      <c r="D67" s="56">
        <v>2016</v>
      </c>
      <c r="E67" s="56" t="s">
        <v>297</v>
      </c>
      <c r="F67" s="56" t="s">
        <v>419</v>
      </c>
      <c r="G67" s="56" t="s">
        <v>185</v>
      </c>
      <c r="H67" s="56" t="s">
        <v>259</v>
      </c>
      <c r="I67" s="56"/>
      <c r="J67" s="56" t="s">
        <v>341</v>
      </c>
      <c r="K67" s="272" t="s">
        <v>551</v>
      </c>
      <c r="L67" s="176"/>
      <c r="M67" s="177"/>
      <c r="N67" s="178"/>
      <c r="O67" s="217">
        <v>785</v>
      </c>
      <c r="P67" s="217">
        <v>550000</v>
      </c>
      <c r="Q67" s="217">
        <v>550000</v>
      </c>
      <c r="R67" s="217">
        <f t="shared" si="279"/>
        <v>25000</v>
      </c>
      <c r="S67" s="217">
        <f t="shared" si="280"/>
        <v>700.63694267515928</v>
      </c>
      <c r="T67" s="223">
        <f t="shared" si="281"/>
        <v>700.63694267515928</v>
      </c>
      <c r="U67" s="223">
        <f t="shared" si="282"/>
        <v>325.66153700403231</v>
      </c>
      <c r="V67" s="223">
        <f t="shared" si="283"/>
        <v>25000</v>
      </c>
      <c r="W67" s="217">
        <f t="shared" si="284"/>
        <v>35.68181818181818</v>
      </c>
      <c r="X67" s="218"/>
      <c r="Y67" s="226">
        <f t="shared" si="285"/>
        <v>2.1514267515923566</v>
      </c>
      <c r="Z67" s="218" t="s">
        <v>211</v>
      </c>
      <c r="AA67" s="218">
        <v>500</v>
      </c>
      <c r="AB67" s="219"/>
      <c r="AC67" s="56" t="s">
        <v>16</v>
      </c>
      <c r="AD67" s="342">
        <f t="shared" si="286"/>
        <v>22</v>
      </c>
      <c r="AE67" s="67"/>
      <c r="AF67" s="56">
        <v>22</v>
      </c>
      <c r="AG67" s="56"/>
      <c r="AH67" s="56"/>
      <c r="AI67" s="60"/>
      <c r="AJ67" s="94">
        <v>1688.87</v>
      </c>
      <c r="AK67" s="60">
        <v>1746</v>
      </c>
      <c r="AL67" s="81"/>
      <c r="AM67" s="81">
        <f>10/AD67</f>
        <v>0.45454545454545453</v>
      </c>
      <c r="AN67" s="81">
        <f>6/AD67</f>
        <v>0.27272727272727271</v>
      </c>
      <c r="AO67" s="81">
        <f>5/AD67</f>
        <v>0.22727272727272727</v>
      </c>
      <c r="AP67" s="81">
        <f>1/AD67</f>
        <v>4.5454545454545456E-2</v>
      </c>
      <c r="AQ67" s="60"/>
      <c r="AR67" s="79">
        <v>0</v>
      </c>
      <c r="AS67" s="81">
        <v>0</v>
      </c>
      <c r="AT67" s="60">
        <v>7</v>
      </c>
      <c r="AU67" s="59" t="s">
        <v>626</v>
      </c>
      <c r="AV67" s="56" t="s">
        <v>121</v>
      </c>
      <c r="AW67" s="250">
        <v>42396</v>
      </c>
      <c r="AX67" s="250">
        <v>42475</v>
      </c>
      <c r="AY67" s="114"/>
      <c r="AZ67" s="114"/>
      <c r="BA67" s="99"/>
      <c r="BB67" s="214">
        <v>42606</v>
      </c>
      <c r="BC67" s="101">
        <v>42646</v>
      </c>
      <c r="BD67" s="101" t="s">
        <v>172</v>
      </c>
      <c r="BE67" s="214" t="s">
        <v>172</v>
      </c>
      <c r="BF67" s="101" t="s">
        <v>172</v>
      </c>
      <c r="BG67" s="170"/>
      <c r="BH67" s="213"/>
      <c r="BI67" s="170"/>
      <c r="BJ67" s="170"/>
      <c r="BK67" s="102"/>
      <c r="BL67" s="198">
        <f t="shared" si="288"/>
        <v>731</v>
      </c>
      <c r="BM67" s="198">
        <f t="shared" si="289"/>
        <v>1096</v>
      </c>
      <c r="BN67" s="198"/>
      <c r="BO67" s="170"/>
      <c r="BP67" s="175"/>
      <c r="BQ67" s="102"/>
      <c r="BR67" s="103"/>
      <c r="BS67" s="103"/>
      <c r="BT67" s="103"/>
      <c r="BU67" s="168"/>
      <c r="BV67" s="266"/>
      <c r="BW67" s="266"/>
      <c r="BX67" s="167"/>
      <c r="BY67" s="266">
        <f>DATE(YEAR(BV67),MONTH(BV67)+18,DAY(BV67))</f>
        <v>547</v>
      </c>
      <c r="BZ67" s="266"/>
      <c r="CA67" s="266"/>
      <c r="CB67" s="266" t="s">
        <v>172</v>
      </c>
      <c r="CC67" s="781"/>
      <c r="CD67" s="615"/>
      <c r="CE67" s="452">
        <v>43371</v>
      </c>
      <c r="CF67" s="445"/>
      <c r="CG67" s="600">
        <f t="shared" si="290"/>
        <v>25.5</v>
      </c>
      <c r="CH67" s="260">
        <v>16</v>
      </c>
      <c r="CI67" s="260">
        <f t="shared" si="291"/>
        <v>17</v>
      </c>
      <c r="CJ67" s="255">
        <f t="shared" si="292"/>
        <v>16</v>
      </c>
      <c r="CK67" s="255">
        <f t="shared" si="293"/>
        <v>17</v>
      </c>
      <c r="CL67" s="255">
        <f t="shared" si="294"/>
        <v>0</v>
      </c>
      <c r="CM67" s="255">
        <f t="shared" si="295"/>
        <v>0</v>
      </c>
      <c r="CN67" s="261"/>
      <c r="CO67" s="261">
        <f t="shared" si="296"/>
        <v>0</v>
      </c>
      <c r="CP67" s="256"/>
      <c r="CQ67" s="797">
        <f t="shared" si="297"/>
        <v>43858</v>
      </c>
      <c r="CR67" s="454">
        <f t="shared" si="298"/>
        <v>43858</v>
      </c>
      <c r="CS67" s="752">
        <f t="shared" si="299"/>
        <v>731</v>
      </c>
      <c r="CT67" s="256"/>
      <c r="CU67" s="883" t="e">
        <f t="shared" si="300"/>
        <v>#NUM!</v>
      </c>
      <c r="CV67" s="256"/>
      <c r="CW67" s="749">
        <f t="shared" si="301"/>
        <v>43889</v>
      </c>
      <c r="CX67" s="612">
        <f t="shared" si="302"/>
        <v>43889</v>
      </c>
      <c r="CY67" s="753"/>
      <c r="CZ67" s="289"/>
      <c r="DA67" s="125"/>
      <c r="DB67" s="125"/>
      <c r="DC67" s="125"/>
      <c r="DD67" s="125"/>
      <c r="DE67" s="125"/>
      <c r="DF67" s="56"/>
      <c r="DG67" s="296">
        <f t="shared" si="303"/>
        <v>44224</v>
      </c>
      <c r="DH67" s="56"/>
      <c r="DI67" s="56"/>
      <c r="DJ67" s="56"/>
      <c r="DK67" s="56"/>
      <c r="DL67" s="56"/>
      <c r="DM67" s="56"/>
      <c r="DN67" s="56"/>
      <c r="DO67" s="56"/>
      <c r="DP67" s="56"/>
      <c r="DQ67" s="56"/>
      <c r="DR67" s="56"/>
      <c r="DS67" s="56"/>
      <c r="DT67" s="340">
        <v>42331</v>
      </c>
      <c r="DU67" s="126">
        <v>42353</v>
      </c>
      <c r="DV67" s="126">
        <v>42326</v>
      </c>
      <c r="DW67" s="691">
        <f t="shared" si="304"/>
        <v>-27</v>
      </c>
      <c r="DX67" s="126">
        <v>42415</v>
      </c>
      <c r="DY67" s="126">
        <v>42415</v>
      </c>
      <c r="DZ67" s="691">
        <f t="shared" si="305"/>
        <v>0</v>
      </c>
      <c r="EA67" s="126">
        <v>42444</v>
      </c>
      <c r="EB67" s="126">
        <v>42598</v>
      </c>
      <c r="EC67" s="691">
        <f t="shared" si="306"/>
        <v>154</v>
      </c>
      <c r="ED67" s="126">
        <v>42748</v>
      </c>
      <c r="EE67" s="126">
        <v>42772</v>
      </c>
      <c r="EF67" s="691">
        <f t="shared" si="307"/>
        <v>24</v>
      </c>
      <c r="EG67" s="126">
        <v>42808</v>
      </c>
      <c r="EH67" s="713">
        <v>43149</v>
      </c>
      <c r="EI67" s="715">
        <f t="shared" si="308"/>
        <v>341</v>
      </c>
      <c r="EJ67" s="719"/>
      <c r="EK67" s="695">
        <v>43189</v>
      </c>
      <c r="EL67" s="701">
        <f t="shared" ca="1" si="342"/>
        <v>43189</v>
      </c>
      <c r="EM67" s="697">
        <f t="shared" ca="1" si="309"/>
        <v>0</v>
      </c>
      <c r="EN67" s="695">
        <v>43203</v>
      </c>
      <c r="EO67" s="701">
        <f t="shared" ca="1" si="310"/>
        <v>43203</v>
      </c>
      <c r="EP67" s="697">
        <f t="shared" ca="1" si="311"/>
        <v>0</v>
      </c>
      <c r="EQ67" s="695"/>
      <c r="ER67" s="701">
        <f t="shared" ca="1" si="312"/>
        <v>43188</v>
      </c>
      <c r="ES67" s="697" t="str">
        <f t="shared" ca="1" si="313"/>
        <v>0</v>
      </c>
      <c r="ET67" s="695"/>
      <c r="EU67" s="722">
        <f t="shared" ca="1" si="314"/>
        <v>43188</v>
      </c>
      <c r="EV67" s="698" t="str">
        <f t="shared" ca="1" si="315"/>
        <v>0</v>
      </c>
      <c r="EW67" s="701"/>
      <c r="EX67" s="701">
        <f t="shared" ca="1" si="316"/>
        <v>43188</v>
      </c>
      <c r="EY67" s="697" t="str">
        <f t="shared" ca="1" si="317"/>
        <v>0</v>
      </c>
      <c r="EZ67" s="701"/>
      <c r="FA67" s="701">
        <f t="shared" ca="1" si="318"/>
        <v>43188</v>
      </c>
      <c r="FB67" s="697" t="str">
        <f t="shared" ca="1" si="319"/>
        <v>0</v>
      </c>
      <c r="FC67" s="703"/>
      <c r="FD67" s="703"/>
      <c r="FE67" s="697" t="str">
        <f t="shared" si="320"/>
        <v>0</v>
      </c>
      <c r="FF67" s="701"/>
      <c r="FG67" s="701"/>
      <c r="FH67" s="697" t="str">
        <f t="shared" si="321"/>
        <v>0</v>
      </c>
      <c r="FI67" s="701"/>
      <c r="FJ67" s="701"/>
      <c r="FK67" s="697" t="str">
        <f t="shared" si="322"/>
        <v>0</v>
      </c>
      <c r="FL67" s="701"/>
      <c r="FM67" s="701"/>
      <c r="FN67" s="701"/>
      <c r="FO67" s="701">
        <v>43655</v>
      </c>
      <c r="FP67" s="701">
        <f t="shared" si="323"/>
        <v>43858</v>
      </c>
      <c r="FQ67" s="699">
        <v>15.066666666666666</v>
      </c>
      <c r="FR67" s="701">
        <v>43685</v>
      </c>
      <c r="FS67" s="701">
        <f t="shared" si="324"/>
        <v>43889</v>
      </c>
      <c r="FT67" s="727">
        <v>46700</v>
      </c>
      <c r="FU67" s="727">
        <v>46700</v>
      </c>
      <c r="FV67" s="727"/>
      <c r="FW67" s="727"/>
      <c r="FX67" s="728">
        <f t="shared" ca="1" si="325"/>
        <v>16.399999999999999</v>
      </c>
      <c r="FY67" s="728">
        <f t="shared" si="326"/>
        <v>6.8</v>
      </c>
      <c r="FZ67" s="724"/>
      <c r="GA67" s="741"/>
      <c r="GB67" s="741"/>
      <c r="GC67" s="741" t="s">
        <v>904</v>
      </c>
      <c r="GD67" s="117"/>
      <c r="GE67" s="117"/>
      <c r="GF67" s="95">
        <f>+GP67+GU67+HB67+HV67</f>
        <v>3755876.2725294223</v>
      </c>
      <c r="GG67" s="70">
        <f t="shared" si="327"/>
        <v>3708069</v>
      </c>
      <c r="GH67" s="96">
        <f t="shared" si="328"/>
        <v>-47807.272529422306</v>
      </c>
      <c r="GI67" s="52" t="e">
        <f t="shared" si="329"/>
        <v>#DIV/0!</v>
      </c>
      <c r="GJ67" s="52">
        <f t="shared" si="330"/>
        <v>168548.59090909091</v>
      </c>
      <c r="GK67" s="95">
        <v>3142057.6116279075</v>
      </c>
      <c r="GL67" s="70">
        <v>3087171</v>
      </c>
      <c r="GM67" s="96">
        <f t="shared" si="331"/>
        <v>-54886.611627907492</v>
      </c>
      <c r="GN67" s="136">
        <f t="shared" si="332"/>
        <v>0.85003854863542172</v>
      </c>
      <c r="GO67" s="137">
        <v>0.4</v>
      </c>
      <c r="GP67" s="95">
        <v>1117146.8818248713</v>
      </c>
      <c r="GQ67" s="917">
        <v>1211134</v>
      </c>
      <c r="GR67" s="925"/>
      <c r="GS67" s="52">
        <f t="shared" si="333"/>
        <v>55051.545454545456</v>
      </c>
      <c r="GT67" s="97">
        <f>GQ67-GP67</f>
        <v>93987.118175128708</v>
      </c>
      <c r="GU67" s="95">
        <v>2192029.3907045508</v>
      </c>
      <c r="GV67" s="70">
        <f t="shared" si="343"/>
        <v>2050235</v>
      </c>
      <c r="GW67" s="89">
        <v>370884</v>
      </c>
      <c r="GX67" s="89">
        <v>1679351</v>
      </c>
      <c r="GY67" s="97">
        <f t="shared" si="334"/>
        <v>-141794.39070455078</v>
      </c>
      <c r="GZ67" s="889">
        <f t="shared" si="335"/>
        <v>93192.5</v>
      </c>
      <c r="HA67" s="70"/>
      <c r="HB67" s="95">
        <v>400000</v>
      </c>
      <c r="HC67" s="70">
        <f>HB67</f>
        <v>400000</v>
      </c>
      <c r="HD67" s="70"/>
      <c r="HE67" s="90">
        <f t="shared" si="345"/>
        <v>0.10787285781359517</v>
      </c>
      <c r="HF67" s="326"/>
      <c r="HG67" s="70"/>
      <c r="HH67" s="91">
        <f t="shared" si="336"/>
        <v>0</v>
      </c>
      <c r="HI67" s="22">
        <f t="shared" si="346"/>
        <v>18181.81818181818</v>
      </c>
      <c r="HJ67" s="84">
        <f t="shared" si="115"/>
        <v>73233.363636363632</v>
      </c>
      <c r="HK67" s="91">
        <f t="shared" si="337"/>
        <v>0</v>
      </c>
      <c r="HL67" s="92">
        <v>5.32</v>
      </c>
      <c r="HM67" s="92">
        <v>5.29</v>
      </c>
      <c r="HN67" s="93"/>
      <c r="HO67" s="93"/>
      <c r="HP67" s="52">
        <f t="shared" si="338"/>
        <v>68961.221901130513</v>
      </c>
      <c r="HQ67" s="93"/>
      <c r="HR67" s="52">
        <f t="shared" si="339"/>
        <v>73233.363636363632</v>
      </c>
      <c r="HS67" s="53">
        <f t="shared" si="340"/>
        <v>0.4039395261556733</v>
      </c>
      <c r="HT67" s="93"/>
      <c r="HU67" s="93"/>
      <c r="HV67" s="70">
        <f t="shared" si="347"/>
        <v>46700</v>
      </c>
      <c r="HW67" s="98">
        <f t="shared" si="341"/>
        <v>3755876.2725294223</v>
      </c>
      <c r="HX67" s="293">
        <v>184075</v>
      </c>
      <c r="HY67" s="293">
        <f t="shared" si="344"/>
        <v>92037</v>
      </c>
      <c r="HZ67" s="118">
        <v>42429</v>
      </c>
      <c r="IA67" s="243"/>
      <c r="IB67" s="243"/>
      <c r="IC67" s="118"/>
      <c r="ID67" s="118">
        <v>42605</v>
      </c>
      <c r="IE67" s="243">
        <v>8765</v>
      </c>
      <c r="IF67" s="118">
        <v>42429</v>
      </c>
      <c r="IG67" s="243">
        <v>36701</v>
      </c>
      <c r="IH67" s="118" t="s">
        <v>608</v>
      </c>
      <c r="II67" s="243">
        <v>18328</v>
      </c>
      <c r="IJ67" s="119">
        <v>42926</v>
      </c>
      <c r="IK67" s="403">
        <v>28243</v>
      </c>
      <c r="IL67" s="338"/>
      <c r="IM67" s="338"/>
      <c r="IN67" s="292"/>
      <c r="IO67" s="293"/>
      <c r="IP67" s="292"/>
      <c r="IQ67" s="293"/>
      <c r="IR67" s="323"/>
      <c r="IS67" s="323"/>
      <c r="IT67" s="323"/>
      <c r="IU67" s="323"/>
      <c r="IV67" s="286"/>
      <c r="IW67" s="286"/>
      <c r="IX67" s="286"/>
      <c r="IY67" s="286"/>
      <c r="IZ67" s="286"/>
      <c r="JA67" s="286"/>
      <c r="JB67" s="243">
        <v>36701</v>
      </c>
      <c r="JC67" s="340"/>
      <c r="JD67" s="119"/>
      <c r="JE67" s="340"/>
      <c r="JF67" s="340"/>
      <c r="JG67" s="119"/>
    </row>
    <row r="68" spans="1:267" ht="24.95" customHeight="1">
      <c r="A68" s="899" t="s">
        <v>449</v>
      </c>
      <c r="B68" s="56" t="s">
        <v>35</v>
      </c>
      <c r="C68" s="56" t="s">
        <v>113</v>
      </c>
      <c r="D68" s="56">
        <v>2017</v>
      </c>
      <c r="E68" s="56" t="s">
        <v>458</v>
      </c>
      <c r="F68" s="56" t="s">
        <v>424</v>
      </c>
      <c r="G68" s="56" t="s">
        <v>519</v>
      </c>
      <c r="H68" s="56" t="s">
        <v>180</v>
      </c>
      <c r="I68" s="56"/>
      <c r="J68" s="56" t="s">
        <v>450</v>
      </c>
      <c r="K68" s="272" t="s">
        <v>745</v>
      </c>
      <c r="L68" s="176"/>
      <c r="M68" s="177"/>
      <c r="N68" s="178"/>
      <c r="O68" s="217">
        <v>1953</v>
      </c>
      <c r="P68" s="217">
        <v>452000</v>
      </c>
      <c r="Q68" s="217"/>
      <c r="R68" s="217">
        <f t="shared" si="279"/>
        <v>17384.615384615383</v>
      </c>
      <c r="S68" s="217">
        <f t="shared" si="280"/>
        <v>231.43881208397337</v>
      </c>
      <c r="T68" s="223">
        <f t="shared" si="281"/>
        <v>0</v>
      </c>
      <c r="U68" s="223">
        <f t="shared" si="282"/>
        <v>0</v>
      </c>
      <c r="V68" s="223">
        <f t="shared" si="283"/>
        <v>0</v>
      </c>
      <c r="W68" s="217">
        <f t="shared" si="284"/>
        <v>75.115384615384613</v>
      </c>
      <c r="X68" s="218"/>
      <c r="Y68" s="219">
        <f t="shared" si="285"/>
        <v>0.87758320532514089</v>
      </c>
      <c r="Z68" s="218" t="s">
        <v>192</v>
      </c>
      <c r="AA68" s="218">
        <v>590</v>
      </c>
      <c r="AB68" s="219"/>
      <c r="AC68" s="56" t="s">
        <v>16</v>
      </c>
      <c r="AD68" s="342">
        <f t="shared" si="286"/>
        <v>26</v>
      </c>
      <c r="AE68" s="67"/>
      <c r="AF68" s="56">
        <v>26</v>
      </c>
      <c r="AG68" s="56"/>
      <c r="AH68" s="56"/>
      <c r="AI68" s="60">
        <v>1730.4</v>
      </c>
      <c r="AJ68" s="94">
        <v>1713.92</v>
      </c>
      <c r="AK68" s="60">
        <f>AJ68/AD68</f>
        <v>65.92</v>
      </c>
      <c r="AL68" s="81"/>
      <c r="AM68" s="81">
        <f>26/AD68</f>
        <v>1</v>
      </c>
      <c r="AN68" s="81"/>
      <c r="AO68" s="81"/>
      <c r="AP68" s="81"/>
      <c r="AQ68" s="60"/>
      <c r="AR68" s="192"/>
      <c r="AS68" s="111"/>
      <c r="AT68" s="60">
        <v>4</v>
      </c>
      <c r="AU68" s="59" t="s">
        <v>626</v>
      </c>
      <c r="AV68" s="56" t="s">
        <v>121</v>
      </c>
      <c r="AW68" s="250">
        <v>42691</v>
      </c>
      <c r="AX68" s="56"/>
      <c r="AY68" s="114"/>
      <c r="AZ68" s="114"/>
      <c r="BA68" s="99"/>
      <c r="BB68" s="214">
        <v>42970</v>
      </c>
      <c r="BC68" s="101">
        <v>42999</v>
      </c>
      <c r="BD68" s="101"/>
      <c r="BE68" s="214"/>
      <c r="BF68" s="101"/>
      <c r="BG68" s="170"/>
      <c r="BH68" s="213"/>
      <c r="BI68" s="170"/>
      <c r="BJ68" s="170"/>
      <c r="BK68" s="102"/>
      <c r="BL68" s="198">
        <f t="shared" si="288"/>
        <v>731</v>
      </c>
      <c r="BM68" s="198">
        <f t="shared" si="289"/>
        <v>1096</v>
      </c>
      <c r="BN68" s="198"/>
      <c r="BO68" s="170"/>
      <c r="BP68" s="175"/>
      <c r="BQ68" s="102"/>
      <c r="BR68" s="103"/>
      <c r="BS68" s="103"/>
      <c r="BT68" s="103"/>
      <c r="BU68" s="168"/>
      <c r="BV68" s="266"/>
      <c r="BW68" s="266"/>
      <c r="BX68" s="167"/>
      <c r="BY68" s="266"/>
      <c r="BZ68" s="266"/>
      <c r="CA68" s="266"/>
      <c r="CB68" s="266" t="s">
        <v>172</v>
      </c>
      <c r="CC68" s="781"/>
      <c r="CD68" s="615"/>
      <c r="CE68" s="452">
        <v>43375</v>
      </c>
      <c r="CF68" s="445"/>
      <c r="CG68" s="600">
        <f t="shared" si="290"/>
        <v>13.5</v>
      </c>
      <c r="CH68" s="260">
        <v>16</v>
      </c>
      <c r="CI68" s="260">
        <f t="shared" si="291"/>
        <v>17</v>
      </c>
      <c r="CJ68" s="255">
        <f t="shared" si="292"/>
        <v>16</v>
      </c>
      <c r="CK68" s="255">
        <f t="shared" si="293"/>
        <v>17</v>
      </c>
      <c r="CL68" s="255">
        <f t="shared" si="294"/>
        <v>0</v>
      </c>
      <c r="CM68" s="255">
        <f t="shared" si="295"/>
        <v>0</v>
      </c>
      <c r="CN68" s="261"/>
      <c r="CO68" s="261">
        <f t="shared" si="296"/>
        <v>0</v>
      </c>
      <c r="CP68" s="256"/>
      <c r="CQ68" s="797">
        <f t="shared" si="297"/>
        <v>43863</v>
      </c>
      <c r="CR68" s="454">
        <f t="shared" si="298"/>
        <v>43863</v>
      </c>
      <c r="CS68" s="752">
        <f t="shared" si="299"/>
        <v>731</v>
      </c>
      <c r="CT68" s="256"/>
      <c r="CU68" s="883" t="e">
        <f t="shared" si="300"/>
        <v>#NUM!</v>
      </c>
      <c r="CV68" s="256"/>
      <c r="CW68" s="749">
        <f t="shared" si="301"/>
        <v>43892</v>
      </c>
      <c r="CX68" s="612">
        <f t="shared" si="302"/>
        <v>43892</v>
      </c>
      <c r="CY68" s="753"/>
      <c r="CZ68" s="122"/>
      <c r="DA68" s="125"/>
      <c r="DB68" s="125"/>
      <c r="DC68" s="125"/>
      <c r="DD68" s="125"/>
      <c r="DE68" s="125"/>
      <c r="DF68" s="56"/>
      <c r="DG68" s="296">
        <f t="shared" si="303"/>
        <v>44229</v>
      </c>
      <c r="DH68" s="56"/>
      <c r="DI68" s="56"/>
      <c r="DJ68" s="56"/>
      <c r="DK68" s="56"/>
      <c r="DL68" s="56"/>
      <c r="DM68" s="56"/>
      <c r="DN68" s="56"/>
      <c r="DO68" s="56"/>
      <c r="DP68" s="56"/>
      <c r="DQ68" s="56"/>
      <c r="DR68" s="56"/>
      <c r="DS68" s="56"/>
      <c r="DT68" s="340">
        <v>42586</v>
      </c>
      <c r="DU68" s="126">
        <v>42601</v>
      </c>
      <c r="DV68" s="126">
        <v>42586</v>
      </c>
      <c r="DW68" s="691">
        <f t="shared" si="304"/>
        <v>-15</v>
      </c>
      <c r="DX68" s="340">
        <v>42706</v>
      </c>
      <c r="DY68" s="340">
        <v>42704</v>
      </c>
      <c r="DZ68" s="691">
        <f t="shared" si="305"/>
        <v>-2</v>
      </c>
      <c r="EA68" s="340">
        <v>42758</v>
      </c>
      <c r="EB68" s="340">
        <v>42758</v>
      </c>
      <c r="EC68" s="691">
        <f t="shared" si="306"/>
        <v>0</v>
      </c>
      <c r="ED68" s="126">
        <v>42818</v>
      </c>
      <c r="EE68" s="340">
        <v>42837</v>
      </c>
      <c r="EF68" s="691">
        <f t="shared" si="307"/>
        <v>19</v>
      </c>
      <c r="EG68" s="713">
        <v>42895</v>
      </c>
      <c r="EH68" s="713">
        <f ca="1">IF(EG68&lt;TODAY(),TODAY(),EG68)</f>
        <v>43188</v>
      </c>
      <c r="EI68" s="715">
        <f t="shared" ca="1" si="308"/>
        <v>293</v>
      </c>
      <c r="EJ68" s="720"/>
      <c r="EK68" s="706">
        <v>43144</v>
      </c>
      <c r="EL68" s="701">
        <f t="shared" ca="1" si="342"/>
        <v>43188</v>
      </c>
      <c r="EM68" s="697">
        <f t="shared" ca="1" si="309"/>
        <v>44</v>
      </c>
      <c r="EN68" s="706">
        <v>43159</v>
      </c>
      <c r="EO68" s="701">
        <f t="shared" ca="1" si="310"/>
        <v>43188</v>
      </c>
      <c r="EP68" s="697">
        <f t="shared" ca="1" si="311"/>
        <v>29</v>
      </c>
      <c r="EQ68" s="695"/>
      <c r="ER68" s="701">
        <f t="shared" ca="1" si="312"/>
        <v>43188</v>
      </c>
      <c r="ES68" s="697" t="str">
        <f t="shared" ca="1" si="313"/>
        <v>0</v>
      </c>
      <c r="ET68" s="695"/>
      <c r="EU68" s="722">
        <f t="shared" ca="1" si="314"/>
        <v>43188</v>
      </c>
      <c r="EV68" s="698" t="str">
        <f t="shared" ca="1" si="315"/>
        <v>0</v>
      </c>
      <c r="EW68" s="701"/>
      <c r="EX68" s="701">
        <f t="shared" ca="1" si="316"/>
        <v>43188</v>
      </c>
      <c r="EY68" s="697" t="str">
        <f t="shared" ca="1" si="317"/>
        <v>0</v>
      </c>
      <c r="EZ68" s="695"/>
      <c r="FA68" s="701">
        <f t="shared" ca="1" si="318"/>
        <v>43188</v>
      </c>
      <c r="FB68" s="697" t="str">
        <f t="shared" ca="1" si="319"/>
        <v>0</v>
      </c>
      <c r="FC68" s="701"/>
      <c r="FD68" s="701">
        <f ca="1">IF(FC68&lt;TODAY(),TODAY(),FC68)</f>
        <v>43188</v>
      </c>
      <c r="FE68" s="697" t="str">
        <f t="shared" ca="1" si="320"/>
        <v>0</v>
      </c>
      <c r="FF68" s="701"/>
      <c r="FG68" s="701">
        <f ca="1">IF(FF68&lt;TODAY(),TODAY(),FF68)</f>
        <v>43188</v>
      </c>
      <c r="FH68" s="697" t="str">
        <f t="shared" ca="1" si="321"/>
        <v>0</v>
      </c>
      <c r="FI68" s="701"/>
      <c r="FJ68" s="701">
        <f ca="1">IF(FI68&lt;TODAY(),TODAY(),FI68)</f>
        <v>43188</v>
      </c>
      <c r="FK68" s="697" t="str">
        <f t="shared" ca="1" si="322"/>
        <v>0</v>
      </c>
      <c r="FL68" s="701"/>
      <c r="FM68" s="701"/>
      <c r="FN68" s="701"/>
      <c r="FO68" s="701">
        <v>43735</v>
      </c>
      <c r="FP68" s="701">
        <f t="shared" si="323"/>
        <v>43863</v>
      </c>
      <c r="FQ68" s="699">
        <f t="shared" ref="FQ68:FQ104" ca="1" si="348">(DATEDIF(EO68,FO68,"d"))/30</f>
        <v>18.233333333333334</v>
      </c>
      <c r="FR68" s="701">
        <v>43763</v>
      </c>
      <c r="FS68" s="701">
        <f t="shared" si="324"/>
        <v>43892</v>
      </c>
      <c r="FT68" s="727">
        <v>250000</v>
      </c>
      <c r="FU68" s="727">
        <v>250000</v>
      </c>
      <c r="FV68" s="727"/>
      <c r="FW68" s="727"/>
      <c r="FX68" s="728">
        <f t="shared" ca="1" si="325"/>
        <v>12.266666666666667</v>
      </c>
      <c r="FY68" s="728">
        <f t="shared" si="326"/>
        <v>4.3</v>
      </c>
      <c r="FZ68" s="724"/>
      <c r="GA68" s="741"/>
      <c r="GB68" s="741"/>
      <c r="GC68" s="724"/>
      <c r="GD68" s="117"/>
      <c r="GE68" s="117"/>
      <c r="GF68" s="95">
        <f>+GP68+GU68+HB68+HV68+HG68</f>
        <v>4132412.99</v>
      </c>
      <c r="GG68" s="70">
        <f t="shared" si="327"/>
        <v>4113382</v>
      </c>
      <c r="GH68" s="96">
        <f t="shared" si="328"/>
        <v>-19030.990000000224</v>
      </c>
      <c r="GI68" s="52">
        <f t="shared" si="329"/>
        <v>2377.12783171521</v>
      </c>
      <c r="GJ68" s="52">
        <f t="shared" si="330"/>
        <v>158207</v>
      </c>
      <c r="GK68" s="95">
        <v>3207102</v>
      </c>
      <c r="GL68" s="70">
        <v>3765886</v>
      </c>
      <c r="GM68" s="96">
        <f t="shared" si="331"/>
        <v>558784</v>
      </c>
      <c r="GN68" s="136">
        <f t="shared" si="332"/>
        <v>0.9347465433553217</v>
      </c>
      <c r="GO68" s="137">
        <v>0.4</v>
      </c>
      <c r="GP68" s="95">
        <v>1296385.9099999999</v>
      </c>
      <c r="GQ68" s="917">
        <v>1301816</v>
      </c>
      <c r="GR68" s="925"/>
      <c r="GS68" s="52">
        <f t="shared" si="333"/>
        <v>50069.846153846156</v>
      </c>
      <c r="GT68" s="97">
        <f>GQ68-GP68</f>
        <v>5430.0900000000838</v>
      </c>
      <c r="GU68" s="842">
        <v>2030427.08</v>
      </c>
      <c r="GV68" s="70">
        <f t="shared" si="343"/>
        <v>2005966</v>
      </c>
      <c r="GW68" s="89">
        <v>482453</v>
      </c>
      <c r="GX68" s="89">
        <v>1523513</v>
      </c>
      <c r="GY68" s="97">
        <f t="shared" si="334"/>
        <v>-24461.080000000075</v>
      </c>
      <c r="GZ68" s="889">
        <f t="shared" si="335"/>
        <v>77152.538461538468</v>
      </c>
      <c r="HA68" s="493"/>
      <c r="HB68" s="95">
        <v>520000</v>
      </c>
      <c r="HC68" s="70">
        <v>520000</v>
      </c>
      <c r="HD68" s="70"/>
      <c r="HE68" s="90">
        <f t="shared" si="345"/>
        <v>0.12641665665868135</v>
      </c>
      <c r="HF68" s="500"/>
      <c r="HG68" s="70">
        <v>35600</v>
      </c>
      <c r="HH68" s="91">
        <f t="shared" si="336"/>
        <v>0</v>
      </c>
      <c r="HI68" s="22">
        <f t="shared" si="346"/>
        <v>20000</v>
      </c>
      <c r="HJ68" s="84">
        <f t="shared" si="115"/>
        <v>70069.846153846156</v>
      </c>
      <c r="HK68" s="91">
        <f t="shared" si="337"/>
        <v>0</v>
      </c>
      <c r="HL68" s="92">
        <v>5.56</v>
      </c>
      <c r="HM68" s="92">
        <v>5.55</v>
      </c>
      <c r="HN68" s="93"/>
      <c r="HO68" s="93"/>
      <c r="HP68" s="52">
        <f t="shared" si="338"/>
        <v>69860.996538461535</v>
      </c>
      <c r="HQ68" s="93"/>
      <c r="HR68" s="52">
        <f t="shared" si="339"/>
        <v>70069.846153846156</v>
      </c>
      <c r="HS68" s="53">
        <f t="shared" si="340"/>
        <v>0.43954607499188986</v>
      </c>
      <c r="HT68" s="93"/>
      <c r="HU68" s="93"/>
      <c r="HV68" s="70">
        <v>250000</v>
      </c>
      <c r="HW68" s="98">
        <f>GG68+HN68</f>
        <v>4113382</v>
      </c>
      <c r="HX68" s="293">
        <v>221723</v>
      </c>
      <c r="HY68" s="293">
        <f t="shared" si="344"/>
        <v>110862</v>
      </c>
      <c r="HZ68" s="118">
        <v>42562</v>
      </c>
      <c r="IA68" s="339">
        <v>23880</v>
      </c>
      <c r="IB68" s="339"/>
      <c r="IC68" s="341"/>
      <c r="ID68" s="341" t="s">
        <v>591</v>
      </c>
      <c r="IE68" s="339">
        <v>15414</v>
      </c>
      <c r="IF68" s="341">
        <v>42697</v>
      </c>
      <c r="IG68" s="243">
        <v>17422</v>
      </c>
      <c r="IH68" s="341">
        <v>42877</v>
      </c>
      <c r="II68" s="243">
        <v>20757</v>
      </c>
      <c r="IJ68" s="119">
        <v>43075</v>
      </c>
      <c r="IK68" s="403">
        <v>33389</v>
      </c>
      <c r="IL68" s="338"/>
      <c r="IM68" s="338"/>
      <c r="IN68" s="292"/>
      <c r="IO68" s="297"/>
      <c r="IP68" s="292"/>
      <c r="IQ68" s="297"/>
      <c r="IR68" s="323"/>
      <c r="IS68" s="323"/>
      <c r="IT68" s="323"/>
      <c r="IU68" s="323"/>
      <c r="IV68" s="286"/>
      <c r="IW68" s="286"/>
      <c r="IX68" s="286"/>
      <c r="IY68" s="286"/>
      <c r="IZ68" s="286"/>
      <c r="JA68" s="286"/>
      <c r="JB68" s="339">
        <f>14653+2769</f>
        <v>17422</v>
      </c>
      <c r="JC68" s="340"/>
      <c r="JD68" s="119"/>
      <c r="JE68" s="340"/>
      <c r="JF68" s="340"/>
      <c r="JG68" s="119"/>
    </row>
    <row r="69" spans="1:267" ht="24.95" customHeight="1">
      <c r="A69" s="899" t="s">
        <v>444</v>
      </c>
      <c r="B69" s="56" t="s">
        <v>35</v>
      </c>
      <c r="C69" s="56" t="s">
        <v>113</v>
      </c>
      <c r="D69" s="56">
        <v>2015</v>
      </c>
      <c r="E69" s="56" t="s">
        <v>263</v>
      </c>
      <c r="F69" s="56" t="s">
        <v>334</v>
      </c>
      <c r="G69" s="8" t="s">
        <v>183</v>
      </c>
      <c r="H69" s="56" t="s">
        <v>177</v>
      </c>
      <c r="I69" s="56"/>
      <c r="J69" s="56"/>
      <c r="K69" s="272" t="s">
        <v>714</v>
      </c>
      <c r="L69" s="176" t="s">
        <v>285</v>
      </c>
      <c r="M69" s="849"/>
      <c r="N69" s="178"/>
      <c r="O69" s="217">
        <v>8838</v>
      </c>
      <c r="P69" s="217">
        <v>652080</v>
      </c>
      <c r="Q69" s="217">
        <f>P69</f>
        <v>652080</v>
      </c>
      <c r="R69" s="217">
        <f>P69/89</f>
        <v>7326.7415730337079</v>
      </c>
      <c r="S69" s="217">
        <f t="shared" si="280"/>
        <v>73.78139850644942</v>
      </c>
      <c r="T69" s="223">
        <f t="shared" si="281"/>
        <v>73.78139850644942</v>
      </c>
      <c r="U69" s="223">
        <f t="shared" si="282"/>
        <v>335.48387096774195</v>
      </c>
      <c r="V69" s="223">
        <f t="shared" si="283"/>
        <v>32604</v>
      </c>
      <c r="W69" s="217">
        <f t="shared" si="284"/>
        <v>441.9</v>
      </c>
      <c r="X69" s="218"/>
      <c r="Y69" s="219">
        <f t="shared" si="285"/>
        <v>0.21992532247114732</v>
      </c>
      <c r="Z69" s="218" t="s">
        <v>192</v>
      </c>
      <c r="AA69" s="218">
        <v>630</v>
      </c>
      <c r="AB69" s="219">
        <v>0</v>
      </c>
      <c r="AC69" s="57" t="s">
        <v>15</v>
      </c>
      <c r="AD69" s="342">
        <f t="shared" si="286"/>
        <v>20</v>
      </c>
      <c r="AE69" s="56">
        <v>20</v>
      </c>
      <c r="AF69" s="67"/>
      <c r="AG69" s="67"/>
      <c r="AH69" s="67"/>
      <c r="AI69" s="60">
        <v>1853.17</v>
      </c>
      <c r="AJ69" s="562">
        <v>1943.7</v>
      </c>
      <c r="AK69" s="10">
        <f>AJ69/AD69</f>
        <v>97.185000000000002</v>
      </c>
      <c r="AL69" s="81"/>
      <c r="AM69" s="81"/>
      <c r="AN69" s="81"/>
      <c r="AO69" s="81">
        <f>16/AD69</f>
        <v>0.8</v>
      </c>
      <c r="AP69" s="81">
        <f>4/AD69</f>
        <v>0.2</v>
      </c>
      <c r="AQ69" s="60"/>
      <c r="AR69" s="79">
        <v>0</v>
      </c>
      <c r="AS69" s="81">
        <v>0</v>
      </c>
      <c r="AT69" s="60">
        <v>4</v>
      </c>
      <c r="AU69" s="59" t="s">
        <v>626</v>
      </c>
      <c r="AV69" s="56" t="s">
        <v>121</v>
      </c>
      <c r="AW69" s="194">
        <v>42031</v>
      </c>
      <c r="AX69" s="56"/>
      <c r="AY69" s="114" t="s">
        <v>12</v>
      </c>
      <c r="AZ69" s="114" t="s">
        <v>295</v>
      </c>
      <c r="BA69" s="99"/>
      <c r="BB69" s="214">
        <v>42354</v>
      </c>
      <c r="BC69" s="101"/>
      <c r="BD69" s="101"/>
      <c r="BE69" s="214"/>
      <c r="BF69" s="101"/>
      <c r="BG69" s="170">
        <v>42899</v>
      </c>
      <c r="BH69" s="213">
        <v>42929</v>
      </c>
      <c r="BI69" s="170">
        <v>43013</v>
      </c>
      <c r="BJ69" s="170">
        <v>42943</v>
      </c>
      <c r="BK69" s="320">
        <f>BI69</f>
        <v>43013</v>
      </c>
      <c r="BL69" s="319">
        <f t="shared" si="288"/>
        <v>43743</v>
      </c>
      <c r="BM69" s="319">
        <f t="shared" si="289"/>
        <v>44109</v>
      </c>
      <c r="BN69" s="319" t="str">
        <f>IF(CX69&gt;BM69,"oui","non")</f>
        <v>non</v>
      </c>
      <c r="BO69" s="170">
        <v>42920</v>
      </c>
      <c r="BP69" s="115" t="s">
        <v>740</v>
      </c>
      <c r="BQ69" s="102">
        <v>43025</v>
      </c>
      <c r="BR69" s="103"/>
      <c r="BS69" s="103"/>
      <c r="BT69" s="106"/>
      <c r="BU69" s="862"/>
      <c r="BV69" s="266" t="s">
        <v>473</v>
      </c>
      <c r="BW69" s="266"/>
      <c r="BX69" s="167"/>
      <c r="BY69" s="266" t="e">
        <f>DATE(YEAR(BV69),MONTH(BV69)+18,DAY(BV69))</f>
        <v>#VALUE!</v>
      </c>
      <c r="BZ69" s="266" t="e">
        <f>DATE(YEAR(BV69),MONTH(BV69)+24,DAY(BV69))</f>
        <v>#VALUE!</v>
      </c>
      <c r="CA69" s="266"/>
      <c r="CB69" s="266" t="s">
        <v>172</v>
      </c>
      <c r="CC69" s="781"/>
      <c r="CD69" s="615"/>
      <c r="CE69" s="598">
        <v>43129</v>
      </c>
      <c r="CF69" s="599">
        <v>2018</v>
      </c>
      <c r="CG69" s="605">
        <f t="shared" si="290"/>
        <v>25.833333333333332</v>
      </c>
      <c r="CH69" s="270">
        <v>21</v>
      </c>
      <c r="CI69" s="270">
        <f t="shared" si="291"/>
        <v>22</v>
      </c>
      <c r="CJ69" s="255">
        <f t="shared" si="292"/>
        <v>21</v>
      </c>
      <c r="CK69" s="255">
        <f t="shared" si="293"/>
        <v>26</v>
      </c>
      <c r="CL69" s="255">
        <f t="shared" si="294"/>
        <v>0</v>
      </c>
      <c r="CM69" s="255">
        <f t="shared" si="295"/>
        <v>4</v>
      </c>
      <c r="CN69" s="261"/>
      <c r="CO69" s="261">
        <f t="shared" si="296"/>
        <v>0</v>
      </c>
      <c r="CP69" s="256"/>
      <c r="CQ69" s="797">
        <f t="shared" si="297"/>
        <v>43767</v>
      </c>
      <c r="CR69" s="513">
        <f t="shared" si="298"/>
        <v>43767</v>
      </c>
      <c r="CS69" s="752">
        <f t="shared" si="299"/>
        <v>731</v>
      </c>
      <c r="CT69" s="256"/>
      <c r="CU69" s="883" t="e">
        <f t="shared" si="300"/>
        <v>#NUM!</v>
      </c>
      <c r="CV69" s="256"/>
      <c r="CW69" s="749">
        <f>DATE(YEAR(CR69),MONTH(CR69)+4,DAY(CR69)+2)</f>
        <v>43892</v>
      </c>
      <c r="CX69" s="612">
        <v>43923</v>
      </c>
      <c r="CY69" s="753"/>
      <c r="CZ69" s="289"/>
      <c r="DA69" s="125"/>
      <c r="DB69" s="125"/>
      <c r="DC69" s="125"/>
      <c r="DD69" s="125"/>
      <c r="DE69" s="125"/>
      <c r="DF69" s="56"/>
      <c r="DG69" s="296">
        <f t="shared" si="303"/>
        <v>44133</v>
      </c>
      <c r="DH69" s="56"/>
      <c r="DI69" s="56"/>
      <c r="DJ69" s="56"/>
      <c r="DK69" s="56"/>
      <c r="DL69" s="56"/>
      <c r="DM69" s="56"/>
      <c r="DN69" s="56"/>
      <c r="DO69" s="56"/>
      <c r="DP69" s="56"/>
      <c r="DQ69" s="56"/>
      <c r="DR69" s="56"/>
      <c r="DS69" s="56"/>
      <c r="DT69" s="126">
        <v>41907</v>
      </c>
      <c r="DU69" s="126">
        <v>41921</v>
      </c>
      <c r="DV69" s="126">
        <v>41921</v>
      </c>
      <c r="DW69" s="691">
        <f t="shared" si="304"/>
        <v>0</v>
      </c>
      <c r="DX69" s="126">
        <v>41999</v>
      </c>
      <c r="DY69" s="126">
        <v>42040</v>
      </c>
      <c r="DZ69" s="691">
        <f t="shared" si="305"/>
        <v>41</v>
      </c>
      <c r="EA69" s="126">
        <v>42020</v>
      </c>
      <c r="EB69" s="126">
        <v>42054</v>
      </c>
      <c r="EC69" s="691">
        <f t="shared" si="306"/>
        <v>34</v>
      </c>
      <c r="ED69" s="126">
        <v>42100</v>
      </c>
      <c r="EE69" s="126">
        <v>42136</v>
      </c>
      <c r="EF69" s="691">
        <f t="shared" si="307"/>
        <v>36</v>
      </c>
      <c r="EG69" s="126">
        <v>42177</v>
      </c>
      <c r="EH69" s="126">
        <v>42254</v>
      </c>
      <c r="EI69" s="691">
        <f t="shared" si="308"/>
        <v>77</v>
      </c>
      <c r="EJ69" s="126">
        <v>42514</v>
      </c>
      <c r="EK69" s="126">
        <v>43042</v>
      </c>
      <c r="EL69" s="126">
        <v>43088</v>
      </c>
      <c r="EM69" s="691">
        <f t="shared" si="309"/>
        <v>46</v>
      </c>
      <c r="EN69" s="126">
        <v>43115</v>
      </c>
      <c r="EO69" s="126">
        <v>43129</v>
      </c>
      <c r="EP69" s="691">
        <f t="shared" si="311"/>
        <v>14</v>
      </c>
      <c r="EQ69" s="701"/>
      <c r="ER69" s="701">
        <f t="shared" ca="1" si="312"/>
        <v>43188</v>
      </c>
      <c r="ES69" s="697" t="str">
        <f t="shared" ca="1" si="313"/>
        <v>0</v>
      </c>
      <c r="ET69" s="701"/>
      <c r="EU69" s="722">
        <f t="shared" ca="1" si="314"/>
        <v>43188</v>
      </c>
      <c r="EV69" s="698" t="str">
        <f t="shared" ca="1" si="315"/>
        <v>0</v>
      </c>
      <c r="EW69" s="701"/>
      <c r="EX69" s="701">
        <f t="shared" ca="1" si="316"/>
        <v>43188</v>
      </c>
      <c r="EY69" s="697" t="str">
        <f t="shared" ca="1" si="317"/>
        <v>0</v>
      </c>
      <c r="EZ69" s="695"/>
      <c r="FA69" s="701">
        <f t="shared" ca="1" si="318"/>
        <v>43188</v>
      </c>
      <c r="FB69" s="697" t="str">
        <f t="shared" ca="1" si="319"/>
        <v>0</v>
      </c>
      <c r="FC69" s="701"/>
      <c r="FD69" s="701"/>
      <c r="FE69" s="697" t="str">
        <f t="shared" si="320"/>
        <v>0</v>
      </c>
      <c r="FF69" s="701"/>
      <c r="FG69" s="701"/>
      <c r="FH69" s="697" t="str">
        <f t="shared" si="321"/>
        <v>0</v>
      </c>
      <c r="FI69" s="701"/>
      <c r="FJ69" s="701"/>
      <c r="FK69" s="697" t="str">
        <f t="shared" si="322"/>
        <v>0</v>
      </c>
      <c r="FL69" s="703"/>
      <c r="FM69" s="703"/>
      <c r="FN69" s="703"/>
      <c r="FO69" s="701">
        <v>43767</v>
      </c>
      <c r="FP69" s="701">
        <f t="shared" si="323"/>
        <v>43767</v>
      </c>
      <c r="FQ69" s="699">
        <f t="shared" si="348"/>
        <v>21.266666666666666</v>
      </c>
      <c r="FR69" s="701">
        <v>43777</v>
      </c>
      <c r="FS69" s="701">
        <f t="shared" si="324"/>
        <v>43923</v>
      </c>
      <c r="FT69" s="727"/>
      <c r="FU69" s="727"/>
      <c r="FV69" s="727">
        <v>475800</v>
      </c>
      <c r="FW69" s="727"/>
      <c r="FX69" s="728">
        <f t="shared" si="325"/>
        <v>8.2666666666666675</v>
      </c>
      <c r="FY69" s="728">
        <f t="shared" si="326"/>
        <v>4.8666666666666663</v>
      </c>
      <c r="FZ69" s="724" t="s">
        <v>841</v>
      </c>
      <c r="GA69" s="741" t="s">
        <v>895</v>
      </c>
      <c r="GB69" s="741" t="s">
        <v>901</v>
      </c>
      <c r="GC69" s="741"/>
      <c r="GD69" s="117"/>
      <c r="GE69" s="117"/>
      <c r="GF69" s="95">
        <f>GP69+GU69+HB69</f>
        <v>3620927.386608588</v>
      </c>
      <c r="GG69" s="70">
        <f t="shared" si="327"/>
        <v>3410268</v>
      </c>
      <c r="GH69" s="96">
        <f t="shared" si="328"/>
        <v>-210659.38660858804</v>
      </c>
      <c r="GI69" s="52">
        <f t="shared" si="329"/>
        <v>1840.2348408402897</v>
      </c>
      <c r="GJ69" s="52">
        <f t="shared" si="330"/>
        <v>170513.4</v>
      </c>
      <c r="GK69" s="95">
        <v>3320758.5701554646</v>
      </c>
      <c r="GL69" s="70">
        <v>3416358.2225748161</v>
      </c>
      <c r="GM69" s="96">
        <f t="shared" si="331"/>
        <v>95599.652419351507</v>
      </c>
      <c r="GN69" s="136">
        <f t="shared" si="332"/>
        <v>1.02282335149287</v>
      </c>
      <c r="GO69" s="137">
        <v>0.39</v>
      </c>
      <c r="GP69" s="95">
        <v>1232699.6352114086</v>
      </c>
      <c r="GQ69" s="917">
        <v>1114069</v>
      </c>
      <c r="GR69" s="925">
        <v>1114069</v>
      </c>
      <c r="GS69" s="52">
        <f t="shared" si="333"/>
        <v>55703.45</v>
      </c>
      <c r="GT69" s="97">
        <f>GQ69-GP69</f>
        <v>-118630.6352114086</v>
      </c>
      <c r="GU69" s="95">
        <v>2188227.7513971794</v>
      </c>
      <c r="GV69" s="885">
        <f t="shared" si="343"/>
        <v>2066681</v>
      </c>
      <c r="GW69" s="855">
        <v>309940</v>
      </c>
      <c r="GX69" s="855">
        <v>1756741</v>
      </c>
      <c r="GY69" s="97">
        <f t="shared" si="334"/>
        <v>-121546.75139717944</v>
      </c>
      <c r="GZ69" s="889">
        <f t="shared" si="335"/>
        <v>103334.05</v>
      </c>
      <c r="HA69" s="70"/>
      <c r="HB69" s="95">
        <v>200000</v>
      </c>
      <c r="HC69" s="70">
        <v>200000</v>
      </c>
      <c r="HD69" s="70"/>
      <c r="HE69" s="90">
        <f t="shared" si="345"/>
        <v>5.8646417231724896E-2</v>
      </c>
      <c r="HF69" s="326"/>
      <c r="HG69" s="70">
        <v>29518</v>
      </c>
      <c r="HH69" s="91">
        <f t="shared" si="336"/>
        <v>0</v>
      </c>
      <c r="HI69" s="22">
        <f t="shared" si="346"/>
        <v>10000</v>
      </c>
      <c r="HJ69" s="84">
        <f t="shared" si="115"/>
        <v>65703.45</v>
      </c>
      <c r="HK69" s="23">
        <f t="shared" si="337"/>
        <v>0</v>
      </c>
      <c r="HL69" s="92">
        <v>6.32</v>
      </c>
      <c r="HM69" s="92">
        <v>5.48</v>
      </c>
      <c r="HN69" s="93">
        <v>0</v>
      </c>
      <c r="HO69" s="93">
        <v>0</v>
      </c>
      <c r="HP69" s="22">
        <f>(GQ69+HC69+HO69)/AD69</f>
        <v>65703.45</v>
      </c>
      <c r="HQ69" s="93">
        <v>0</v>
      </c>
      <c r="HR69" s="22">
        <f t="shared" si="339"/>
        <v>65703.45</v>
      </c>
      <c r="HS69" s="53">
        <f>(GQ69+HC69+HO69+HQ69)/(HN69+GG69-HT69)</f>
        <v>0.38532719422637751</v>
      </c>
      <c r="HT69" s="93">
        <v>0</v>
      </c>
      <c r="HU69" s="93"/>
      <c r="HV69" s="70">
        <v>0</v>
      </c>
      <c r="HW69" s="42">
        <f>GG69+HN69</f>
        <v>3410268</v>
      </c>
      <c r="HX69" s="293">
        <v>685491</v>
      </c>
      <c r="HY69" s="293">
        <f t="shared" si="344"/>
        <v>411294</v>
      </c>
      <c r="HZ69" s="118">
        <v>41936</v>
      </c>
      <c r="IA69" s="243">
        <v>67842</v>
      </c>
      <c r="IB69" s="243"/>
      <c r="IC69" s="118"/>
      <c r="ID69" s="118">
        <v>41992</v>
      </c>
      <c r="IE69" s="243">
        <v>33921</v>
      </c>
      <c r="IF69" s="118">
        <v>42065</v>
      </c>
      <c r="IG69" s="243">
        <v>72217</v>
      </c>
      <c r="IH69" s="118">
        <v>42121</v>
      </c>
      <c r="II69" s="243">
        <v>65293</v>
      </c>
      <c r="IJ69" s="119"/>
      <c r="IK69" s="403">
        <v>103472</v>
      </c>
      <c r="IL69" s="338"/>
      <c r="IM69" s="338"/>
      <c r="IN69" s="126"/>
      <c r="IO69" s="593"/>
      <c r="IP69" s="126">
        <v>43083</v>
      </c>
      <c r="IQ69" s="243">
        <v>68549</v>
      </c>
      <c r="IR69" s="323"/>
      <c r="IS69" s="323"/>
      <c r="IT69" s="323"/>
      <c r="IU69" s="323"/>
      <c r="IV69" s="286"/>
      <c r="IW69" s="286"/>
      <c r="IX69" s="286"/>
      <c r="IY69" s="286"/>
      <c r="IZ69" s="286"/>
      <c r="JA69" s="286"/>
      <c r="JB69" s="243">
        <v>72217</v>
      </c>
      <c r="JC69" s="126"/>
      <c r="JD69" s="119"/>
      <c r="JE69" s="126"/>
      <c r="JF69" s="126"/>
      <c r="JG69" s="119"/>
    </row>
    <row r="70" spans="1:267" ht="24.95" customHeight="1">
      <c r="A70" s="899" t="s">
        <v>381</v>
      </c>
      <c r="B70" s="56" t="s">
        <v>35</v>
      </c>
      <c r="C70" s="56" t="s">
        <v>113</v>
      </c>
      <c r="D70" s="56">
        <v>2016</v>
      </c>
      <c r="E70" s="56" t="s">
        <v>263</v>
      </c>
      <c r="F70" s="56" t="s">
        <v>334</v>
      </c>
      <c r="G70" s="88"/>
      <c r="H70" s="56"/>
      <c r="I70" s="56"/>
      <c r="J70" s="56"/>
      <c r="K70" s="272" t="s">
        <v>714</v>
      </c>
      <c r="L70" s="176" t="s">
        <v>285</v>
      </c>
      <c r="M70" s="177" t="s">
        <v>150</v>
      </c>
      <c r="N70" s="178"/>
      <c r="O70" s="217">
        <v>8838</v>
      </c>
      <c r="P70" s="217">
        <v>652080</v>
      </c>
      <c r="Q70" s="217">
        <f>P70</f>
        <v>652080</v>
      </c>
      <c r="R70" s="217">
        <f>P70/89</f>
        <v>7326.7415730337079</v>
      </c>
      <c r="S70" s="217">
        <f t="shared" si="280"/>
        <v>73.78139850644942</v>
      </c>
      <c r="T70" s="223">
        <f t="shared" si="281"/>
        <v>73.78139850644942</v>
      </c>
      <c r="U70" s="223">
        <f t="shared" si="282"/>
        <v>130.36333321338179</v>
      </c>
      <c r="V70" s="223">
        <f t="shared" si="283"/>
        <v>9450.434782608696</v>
      </c>
      <c r="W70" s="217">
        <f t="shared" si="284"/>
        <v>128.08695652173913</v>
      </c>
      <c r="X70" s="218"/>
      <c r="Y70" s="219">
        <f t="shared" si="285"/>
        <v>0.56596741344195522</v>
      </c>
      <c r="Z70" s="218" t="s">
        <v>192</v>
      </c>
      <c r="AA70" s="218">
        <v>630</v>
      </c>
      <c r="AB70" s="219">
        <v>0</v>
      </c>
      <c r="AC70" s="57" t="s">
        <v>16</v>
      </c>
      <c r="AD70" s="342">
        <f t="shared" si="286"/>
        <v>69</v>
      </c>
      <c r="AE70" s="67"/>
      <c r="AF70" s="56">
        <v>69</v>
      </c>
      <c r="AG70" s="56"/>
      <c r="AH70" s="56"/>
      <c r="AI70" s="60">
        <v>4692.6549999999988</v>
      </c>
      <c r="AJ70" s="562">
        <v>5002.0200000000004</v>
      </c>
      <c r="AK70" s="60">
        <f>AJ70/AD70</f>
        <v>72.493043478260873</v>
      </c>
      <c r="AL70" s="81">
        <f>12/AD70</f>
        <v>0.17391304347826086</v>
      </c>
      <c r="AM70" s="81">
        <f>29/AD70</f>
        <v>0.42028985507246375</v>
      </c>
      <c r="AN70" s="81">
        <f>28/AD70</f>
        <v>0.40579710144927539</v>
      </c>
      <c r="AO70" s="81">
        <v>0</v>
      </c>
      <c r="AP70" s="81">
        <v>0</v>
      </c>
      <c r="AQ70" s="60"/>
      <c r="AR70" s="79">
        <v>0</v>
      </c>
      <c r="AS70" s="81">
        <v>0</v>
      </c>
      <c r="AT70" s="60">
        <v>4</v>
      </c>
      <c r="AU70" s="59" t="s">
        <v>626</v>
      </c>
      <c r="AV70" s="56" t="s">
        <v>121</v>
      </c>
      <c r="AW70" s="250">
        <v>42031</v>
      </c>
      <c r="AX70" s="250">
        <v>42475</v>
      </c>
      <c r="AY70" s="114" t="s">
        <v>12</v>
      </c>
      <c r="AZ70" s="114" t="s">
        <v>295</v>
      </c>
      <c r="BA70" s="99"/>
      <c r="BB70" s="214">
        <v>42462</v>
      </c>
      <c r="BC70" s="101"/>
      <c r="BD70" s="101"/>
      <c r="BE70" s="214"/>
      <c r="BF70" s="101"/>
      <c r="BG70" s="170">
        <v>42899</v>
      </c>
      <c r="BH70" s="213">
        <v>42929</v>
      </c>
      <c r="BI70" s="170">
        <v>43013</v>
      </c>
      <c r="BJ70" s="170">
        <v>42943</v>
      </c>
      <c r="BK70" s="320">
        <f>BI70</f>
        <v>43013</v>
      </c>
      <c r="BL70" s="319">
        <f t="shared" si="288"/>
        <v>43743</v>
      </c>
      <c r="BM70" s="319">
        <f t="shared" si="289"/>
        <v>44109</v>
      </c>
      <c r="BN70" s="319" t="str">
        <f>IF(CX70&gt;BM70,"oui","non")</f>
        <v>non</v>
      </c>
      <c r="BO70" s="169">
        <v>42920</v>
      </c>
      <c r="BP70" s="115" t="s">
        <v>718</v>
      </c>
      <c r="BQ70" s="102">
        <v>43025</v>
      </c>
      <c r="BR70" s="103"/>
      <c r="BS70" s="103"/>
      <c r="BT70" s="103"/>
      <c r="BU70" s="168" t="s">
        <v>72</v>
      </c>
      <c r="BV70" s="266"/>
      <c r="BW70" s="266"/>
      <c r="BX70" s="167"/>
      <c r="BY70" s="266">
        <f>DATE(YEAR(BV70),MONTH(BV70)+18,DAY(BV70))</f>
        <v>547</v>
      </c>
      <c r="BZ70" s="266"/>
      <c r="CA70" s="266"/>
      <c r="CB70" s="266" t="s">
        <v>172</v>
      </c>
      <c r="CC70" s="781"/>
      <c r="CD70" s="615"/>
      <c r="CE70" s="598">
        <v>43129</v>
      </c>
      <c r="CF70" s="599">
        <v>2018</v>
      </c>
      <c r="CG70" s="605">
        <f t="shared" si="290"/>
        <v>22.233333333333334</v>
      </c>
      <c r="CH70" s="270">
        <v>21</v>
      </c>
      <c r="CI70" s="270">
        <f t="shared" si="291"/>
        <v>22</v>
      </c>
      <c r="CJ70" s="255">
        <f t="shared" si="292"/>
        <v>21</v>
      </c>
      <c r="CK70" s="255">
        <f t="shared" si="293"/>
        <v>26</v>
      </c>
      <c r="CL70" s="255">
        <f t="shared" si="294"/>
        <v>0</v>
      </c>
      <c r="CM70" s="255">
        <f t="shared" si="295"/>
        <v>4</v>
      </c>
      <c r="CN70" s="261"/>
      <c r="CO70" s="261">
        <f t="shared" si="296"/>
        <v>0</v>
      </c>
      <c r="CP70" s="256"/>
      <c r="CQ70" s="797">
        <f t="shared" si="297"/>
        <v>43767</v>
      </c>
      <c r="CR70" s="513">
        <f t="shared" si="298"/>
        <v>43767</v>
      </c>
      <c r="CS70" s="752">
        <f t="shared" si="299"/>
        <v>731</v>
      </c>
      <c r="CT70" s="256"/>
      <c r="CU70" s="883" t="e">
        <f t="shared" si="300"/>
        <v>#NUM!</v>
      </c>
      <c r="CV70" s="256"/>
      <c r="CW70" s="749">
        <f>DATE(YEAR(CR70),MONTH(CR70)+4,DAY(CR70)+2)</f>
        <v>43892</v>
      </c>
      <c r="CX70" s="612">
        <v>43923</v>
      </c>
      <c r="CY70" s="753"/>
      <c r="CZ70" s="289"/>
      <c r="DA70" s="125"/>
      <c r="DB70" s="125"/>
      <c r="DC70" s="125"/>
      <c r="DD70" s="125"/>
      <c r="DE70" s="125"/>
      <c r="DF70" s="56"/>
      <c r="DG70" s="296">
        <f t="shared" si="303"/>
        <v>44133</v>
      </c>
      <c r="DH70" s="56"/>
      <c r="DI70" s="56"/>
      <c r="DJ70" s="56"/>
      <c r="DK70" s="56"/>
      <c r="DL70" s="56"/>
      <c r="DM70" s="56"/>
      <c r="DN70" s="56"/>
      <c r="DO70" s="56"/>
      <c r="DP70" s="56"/>
      <c r="DQ70" s="56"/>
      <c r="DR70" s="56"/>
      <c r="DS70" s="56"/>
      <c r="DT70" s="126"/>
      <c r="DU70" s="119"/>
      <c r="DV70" s="119"/>
      <c r="DW70" s="691" t="str">
        <f t="shared" si="304"/>
        <v>0</v>
      </c>
      <c r="DX70" s="126"/>
      <c r="DY70" s="126"/>
      <c r="DZ70" s="691" t="str">
        <f t="shared" si="305"/>
        <v>0</v>
      </c>
      <c r="EA70" s="133"/>
      <c r="EB70" s="126"/>
      <c r="EC70" s="691" t="str">
        <f t="shared" si="306"/>
        <v>0</v>
      </c>
      <c r="ED70" s="133"/>
      <c r="EE70" s="126"/>
      <c r="EF70" s="691" t="str">
        <f t="shared" si="307"/>
        <v>0</v>
      </c>
      <c r="EG70" s="133"/>
      <c r="EH70" s="745"/>
      <c r="EI70" s="691" t="str">
        <f t="shared" si="308"/>
        <v>0</v>
      </c>
      <c r="EJ70" s="243"/>
      <c r="EK70" s="126"/>
      <c r="EL70" s="243"/>
      <c r="EM70" s="691" t="str">
        <f t="shared" si="309"/>
        <v>0</v>
      </c>
      <c r="EN70" s="126"/>
      <c r="EO70" s="243"/>
      <c r="EP70" s="691" t="str">
        <f t="shared" si="311"/>
        <v>0</v>
      </c>
      <c r="EQ70" s="701"/>
      <c r="ER70" s="696"/>
      <c r="ES70" s="697" t="str">
        <f t="shared" si="313"/>
        <v>0</v>
      </c>
      <c r="ET70" s="701"/>
      <c r="EU70" s="722"/>
      <c r="EV70" s="698" t="str">
        <f t="shared" si="315"/>
        <v>0</v>
      </c>
      <c r="EW70" s="699"/>
      <c r="EX70" s="700"/>
      <c r="EY70" s="697" t="str">
        <f t="shared" si="317"/>
        <v>0</v>
      </c>
      <c r="EZ70" s="696"/>
      <c r="FA70" s="701"/>
      <c r="FB70" s="697" t="str">
        <f t="shared" si="319"/>
        <v>0</v>
      </c>
      <c r="FC70" s="705"/>
      <c r="FD70" s="705"/>
      <c r="FE70" s="697" t="str">
        <f t="shared" si="320"/>
        <v>0</v>
      </c>
      <c r="FF70" s="705"/>
      <c r="FG70" s="703"/>
      <c r="FH70" s="697" t="str">
        <f t="shared" si="321"/>
        <v>0</v>
      </c>
      <c r="FI70" s="703"/>
      <c r="FJ70" s="703"/>
      <c r="FK70" s="697" t="str">
        <f t="shared" si="322"/>
        <v>0</v>
      </c>
      <c r="FL70" s="703"/>
      <c r="FM70" s="703"/>
      <c r="FN70" s="703"/>
      <c r="FO70" s="703"/>
      <c r="FP70" s="701">
        <f t="shared" si="323"/>
        <v>43767</v>
      </c>
      <c r="FQ70" s="699">
        <f t="shared" si="348"/>
        <v>0</v>
      </c>
      <c r="FR70" s="703"/>
      <c r="FS70" s="701">
        <f t="shared" si="324"/>
        <v>43923</v>
      </c>
      <c r="FT70" s="727"/>
      <c r="FU70" s="727"/>
      <c r="FV70" s="727"/>
      <c r="FW70" s="727"/>
      <c r="FX70" s="728">
        <f t="shared" si="325"/>
        <v>0</v>
      </c>
      <c r="FY70" s="728"/>
      <c r="FZ70" s="724"/>
      <c r="GA70" s="741"/>
      <c r="GB70" s="741"/>
      <c r="GC70" s="724"/>
      <c r="GD70" s="117"/>
      <c r="GE70" s="117"/>
      <c r="GF70" s="95">
        <f>GG70</f>
        <v>9081364</v>
      </c>
      <c r="GG70" s="70">
        <f t="shared" si="327"/>
        <v>9081364</v>
      </c>
      <c r="GH70" s="96">
        <f t="shared" si="328"/>
        <v>0</v>
      </c>
      <c r="GI70" s="52">
        <f t="shared" si="329"/>
        <v>1935.2294170357723</v>
      </c>
      <c r="GJ70" s="52">
        <f t="shared" si="330"/>
        <v>131613.97101449277</v>
      </c>
      <c r="GK70" s="95">
        <f>GL70</f>
        <v>8791836.2692203913</v>
      </c>
      <c r="GL70" s="70">
        <v>8791836.2692203913</v>
      </c>
      <c r="GM70" s="96">
        <f t="shared" si="331"/>
        <v>0</v>
      </c>
      <c r="GN70" s="136">
        <f t="shared" si="332"/>
        <v>0.98844896326961662</v>
      </c>
      <c r="GO70" s="137">
        <v>0.39500000000000002</v>
      </c>
      <c r="GP70" s="95">
        <f>GQ70</f>
        <v>2943082</v>
      </c>
      <c r="GQ70" s="886">
        <v>2943082</v>
      </c>
      <c r="GR70" s="925">
        <v>2943082</v>
      </c>
      <c r="GS70" s="52">
        <f t="shared" si="333"/>
        <v>42653.362318840576</v>
      </c>
      <c r="GT70" s="97">
        <f>GQ70-GP70</f>
        <v>0</v>
      </c>
      <c r="GU70" s="95">
        <f>GV70</f>
        <v>5336445</v>
      </c>
      <c r="GV70" s="886">
        <f t="shared" si="343"/>
        <v>5336445</v>
      </c>
      <c r="GW70" s="792">
        <v>746372</v>
      </c>
      <c r="GX70" s="792">
        <v>4590073</v>
      </c>
      <c r="GY70" s="97">
        <f t="shared" si="334"/>
        <v>0</v>
      </c>
      <c r="GZ70" s="889">
        <f t="shared" si="335"/>
        <v>77339.782608695648</v>
      </c>
      <c r="HA70" s="70"/>
      <c r="HB70" s="95">
        <v>700000</v>
      </c>
      <c r="HC70" s="70">
        <v>700000</v>
      </c>
      <c r="HD70" s="70"/>
      <c r="HE70" s="90">
        <f t="shared" si="345"/>
        <v>7.7080931895252738E-2</v>
      </c>
      <c r="HF70" s="326"/>
      <c r="HG70" s="70">
        <v>101837</v>
      </c>
      <c r="HH70" s="91">
        <f t="shared" si="336"/>
        <v>0</v>
      </c>
      <c r="HI70" s="22">
        <f t="shared" si="346"/>
        <v>10144.927536231884</v>
      </c>
      <c r="HJ70" s="84">
        <f t="shared" si="115"/>
        <v>52798.289855072464</v>
      </c>
      <c r="HK70" s="23">
        <f t="shared" si="337"/>
        <v>0</v>
      </c>
      <c r="HL70" s="92">
        <v>5.51</v>
      </c>
      <c r="HM70" s="92">
        <v>5.48</v>
      </c>
      <c r="HN70" s="93">
        <v>0</v>
      </c>
      <c r="HO70" s="93">
        <v>0</v>
      </c>
      <c r="HP70" s="22">
        <f>(GQ70+HC70+HO70)/AD70</f>
        <v>52798.289855072464</v>
      </c>
      <c r="HQ70" s="93">
        <v>0</v>
      </c>
      <c r="HR70" s="22">
        <f t="shared" si="339"/>
        <v>52798.289855072464</v>
      </c>
      <c r="HS70" s="53">
        <f>(GQ70+HC70+HO70+HQ70)/(HN70+GG70-HT70)</f>
        <v>0.40116022218688735</v>
      </c>
      <c r="HT70" s="93">
        <v>0</v>
      </c>
      <c r="HU70" s="93"/>
      <c r="HV70" s="70">
        <f t="shared" ref="HV70" si="349">FU70</f>
        <v>0</v>
      </c>
      <c r="HW70" s="42">
        <f>GG70+HN70</f>
        <v>9081364</v>
      </c>
      <c r="HX70" s="293"/>
      <c r="HY70" s="293">
        <f t="shared" si="344"/>
        <v>0</v>
      </c>
      <c r="HZ70" s="118"/>
      <c r="IA70" s="243"/>
      <c r="IB70" s="243"/>
      <c r="IC70" s="118"/>
      <c r="ID70" s="118"/>
      <c r="IE70" s="243"/>
      <c r="IF70" s="118"/>
      <c r="IG70" s="243"/>
      <c r="IH70" s="118"/>
      <c r="II70" s="243"/>
      <c r="IJ70" s="119"/>
      <c r="IK70" s="403"/>
      <c r="IL70" s="338"/>
      <c r="IM70" s="338"/>
      <c r="IN70" s="292"/>
      <c r="IO70" s="293"/>
      <c r="IP70" s="292"/>
      <c r="IQ70" s="293"/>
      <c r="IR70" s="291"/>
      <c r="IS70" s="291"/>
      <c r="IT70" s="291"/>
      <c r="IU70" s="291"/>
      <c r="IV70" s="286"/>
      <c r="IW70" s="286"/>
      <c r="IX70" s="286"/>
      <c r="IY70" s="286"/>
      <c r="IZ70" s="286"/>
      <c r="JA70" s="286"/>
      <c r="JB70" s="243"/>
      <c r="JC70" s="126"/>
      <c r="JD70" s="119"/>
      <c r="JE70" s="126"/>
      <c r="JF70" s="126"/>
      <c r="JG70" s="119"/>
    </row>
    <row r="71" spans="1:267" ht="24.95" customHeight="1">
      <c r="A71" s="613" t="s">
        <v>505</v>
      </c>
      <c r="B71" s="56" t="s">
        <v>35</v>
      </c>
      <c r="C71" s="56" t="s">
        <v>113</v>
      </c>
      <c r="D71" s="56">
        <v>2018</v>
      </c>
      <c r="E71" s="56"/>
      <c r="F71" s="56" t="s">
        <v>488</v>
      </c>
      <c r="G71" s="56" t="s">
        <v>184</v>
      </c>
      <c r="H71" s="56" t="s">
        <v>455</v>
      </c>
      <c r="I71" s="56"/>
      <c r="J71" s="56" t="s">
        <v>510</v>
      </c>
      <c r="K71" s="272" t="s">
        <v>525</v>
      </c>
      <c r="L71" s="176" t="s">
        <v>64</v>
      </c>
      <c r="M71" s="177" t="s">
        <v>524</v>
      </c>
      <c r="N71" s="178">
        <v>34912</v>
      </c>
      <c r="O71" s="243"/>
      <c r="P71" s="243"/>
      <c r="Q71" s="243"/>
      <c r="R71" s="243"/>
      <c r="S71" s="243"/>
      <c r="T71" s="819"/>
      <c r="U71" s="819"/>
      <c r="V71" s="819"/>
      <c r="W71" s="243"/>
      <c r="X71" s="218"/>
      <c r="Y71" s="226" t="e">
        <f t="shared" si="285"/>
        <v>#DIV/0!</v>
      </c>
      <c r="Z71" s="218"/>
      <c r="AA71" s="218"/>
      <c r="AB71" s="219"/>
      <c r="AC71" s="56" t="s">
        <v>487</v>
      </c>
      <c r="AD71" s="342">
        <f t="shared" si="286"/>
        <v>128</v>
      </c>
      <c r="AE71" s="67"/>
      <c r="AF71" s="119"/>
      <c r="AG71" s="119"/>
      <c r="AH71" s="203">
        <v>128</v>
      </c>
      <c r="AI71" s="60"/>
      <c r="AJ71" s="94"/>
      <c r="AK71" s="60"/>
      <c r="AL71" s="81"/>
      <c r="AM71" s="81"/>
      <c r="AN71" s="81"/>
      <c r="AO71" s="81"/>
      <c r="AP71" s="81"/>
      <c r="AQ71" s="60"/>
      <c r="AR71" s="79"/>
      <c r="AS71" s="81"/>
      <c r="AT71" s="60"/>
      <c r="AU71" s="56"/>
      <c r="AV71" s="56"/>
      <c r="AW71" s="56"/>
      <c r="AX71" s="56"/>
      <c r="AY71" s="114"/>
      <c r="AZ71" s="114"/>
      <c r="BA71" s="99"/>
      <c r="BB71" s="214"/>
      <c r="BC71" s="101"/>
      <c r="BD71" s="101"/>
      <c r="BE71" s="214"/>
      <c r="BF71" s="101"/>
      <c r="BG71" s="170"/>
      <c r="BH71" s="213"/>
      <c r="BI71" s="170"/>
      <c r="BJ71" s="170"/>
      <c r="BK71" s="102"/>
      <c r="BL71" s="198">
        <f t="shared" si="288"/>
        <v>731</v>
      </c>
      <c r="BM71" s="198">
        <f t="shared" si="289"/>
        <v>1096</v>
      </c>
      <c r="BN71" s="198"/>
      <c r="BO71" s="170"/>
      <c r="BP71" s="175"/>
      <c r="BQ71" s="102"/>
      <c r="BR71" s="103"/>
      <c r="BS71" s="103"/>
      <c r="BT71" s="103"/>
      <c r="BU71" s="168"/>
      <c r="BV71" s="266"/>
      <c r="BW71" s="266"/>
      <c r="BX71" s="167"/>
      <c r="BY71" s="266"/>
      <c r="BZ71" s="266"/>
      <c r="CA71" s="266"/>
      <c r="CB71" s="517"/>
      <c r="CC71" s="517"/>
      <c r="CD71" s="615"/>
      <c r="CE71" s="452">
        <v>43480</v>
      </c>
      <c r="CF71" s="445"/>
      <c r="CG71" s="600">
        <f t="shared" si="290"/>
        <v>1449.3333333333333</v>
      </c>
      <c r="CH71" s="260">
        <v>12</v>
      </c>
      <c r="CI71" s="260">
        <f t="shared" si="291"/>
        <v>13</v>
      </c>
      <c r="CJ71" s="255">
        <f t="shared" si="292"/>
        <v>13</v>
      </c>
      <c r="CK71" s="255">
        <f t="shared" si="293"/>
        <v>15</v>
      </c>
      <c r="CL71" s="255">
        <f t="shared" si="294"/>
        <v>1</v>
      </c>
      <c r="CM71" s="255">
        <f t="shared" si="295"/>
        <v>2</v>
      </c>
      <c r="CN71" s="261"/>
      <c r="CO71" s="261">
        <f t="shared" si="296"/>
        <v>0</v>
      </c>
      <c r="CP71" s="256"/>
      <c r="CQ71" s="797">
        <f t="shared" si="297"/>
        <v>43845</v>
      </c>
      <c r="CR71" s="454">
        <f>DATE(YEAR(CE71),MONTH(CE71)+CH71+1,DAY(CE71))</f>
        <v>43876</v>
      </c>
      <c r="CS71" s="752"/>
      <c r="CT71" s="256"/>
      <c r="CU71" s="883">
        <f t="shared" si="300"/>
        <v>0</v>
      </c>
      <c r="CV71" s="256"/>
      <c r="CW71" s="749">
        <f t="shared" ref="CW71:CW103" si="350">DATE(YEAR(CR71),MONTH(CR71)+1,DAY(CR71))</f>
        <v>43905</v>
      </c>
      <c r="CX71" s="612">
        <f>DATE(YEAR(CW71),MONTH(CW71)+1,DAY(CW71))</f>
        <v>43936</v>
      </c>
      <c r="CY71" s="753"/>
      <c r="CZ71" s="122"/>
      <c r="DA71" s="125"/>
      <c r="DB71" s="125"/>
      <c r="DC71" s="125"/>
      <c r="DD71" s="125"/>
      <c r="DE71" s="125"/>
      <c r="DF71" s="56"/>
      <c r="DG71" s="296">
        <f t="shared" si="303"/>
        <v>44242</v>
      </c>
      <c r="DH71" s="56"/>
      <c r="DI71" s="56"/>
      <c r="DJ71" s="56"/>
      <c r="DK71" s="56"/>
      <c r="DL71" s="56"/>
      <c r="DM71" s="56"/>
      <c r="DN71" s="56"/>
      <c r="DO71" s="56"/>
      <c r="DP71" s="56"/>
      <c r="DQ71" s="56"/>
      <c r="DR71" s="56"/>
      <c r="DS71" s="56"/>
      <c r="DT71" s="710">
        <v>42935</v>
      </c>
      <c r="DU71" s="711"/>
      <c r="DV71" s="711"/>
      <c r="DW71" s="715" t="str">
        <f t="shared" si="304"/>
        <v>0</v>
      </c>
      <c r="DX71" s="713">
        <v>43038</v>
      </c>
      <c r="DY71" s="713">
        <f ca="1">IF(DX71&lt;TODAY(),TODAY(),DX71)</f>
        <v>43188</v>
      </c>
      <c r="DZ71" s="715">
        <f t="shared" ca="1" si="305"/>
        <v>150</v>
      </c>
      <c r="EA71" s="713">
        <v>43017</v>
      </c>
      <c r="EB71" s="710">
        <f ca="1">IF(EA71&lt;TODAY(),TODAY(),EA71)</f>
        <v>43188</v>
      </c>
      <c r="EC71" s="715">
        <f t="shared" ca="1" si="306"/>
        <v>171</v>
      </c>
      <c r="ED71" s="713">
        <v>43098</v>
      </c>
      <c r="EE71" s="710">
        <f t="shared" ref="EE71:EE76" ca="1" si="351">IF(ED71&lt;TODAY(),TODAY(),ED71)</f>
        <v>43188</v>
      </c>
      <c r="EF71" s="715">
        <f t="shared" ca="1" si="307"/>
        <v>90</v>
      </c>
      <c r="EG71" s="713">
        <v>43158</v>
      </c>
      <c r="EH71" s="713">
        <f t="shared" ref="EH71:EH76" ca="1" si="352">IF(EG71&lt;TODAY(),TODAY(),EG71)</f>
        <v>43188</v>
      </c>
      <c r="EI71" s="715">
        <f t="shared" ca="1" si="308"/>
        <v>30</v>
      </c>
      <c r="EJ71" s="718"/>
      <c r="EK71" s="695">
        <v>43602</v>
      </c>
      <c r="EL71" s="701">
        <f t="shared" ref="EL71:EL76" ca="1" si="353">IF(EK71&lt;TODAY(),TODAY(),EK71)</f>
        <v>43602</v>
      </c>
      <c r="EM71" s="697">
        <f t="shared" ca="1" si="309"/>
        <v>0</v>
      </c>
      <c r="EN71" s="695">
        <v>43616</v>
      </c>
      <c r="EO71" s="701">
        <f t="shared" ref="EO71:EO76" ca="1" si="354">IF(EN71&lt;TODAY(),TODAY(),EN71)</f>
        <v>43616</v>
      </c>
      <c r="EP71" s="697">
        <f t="shared" ca="1" si="311"/>
        <v>0</v>
      </c>
      <c r="EQ71" s="695"/>
      <c r="ER71" s="701">
        <f t="shared" ref="ER71:ER76" ca="1" si="355">IF(EQ71&lt;TODAY(),TODAY(),EQ71)</f>
        <v>43188</v>
      </c>
      <c r="ES71" s="697" t="str">
        <f t="shared" ca="1" si="313"/>
        <v>0</v>
      </c>
      <c r="ET71" s="695"/>
      <c r="EU71" s="722">
        <f t="shared" ref="EU71:EU76" ca="1" si="356">IF(ET71&lt;TODAY(),TODAY(),ET71)</f>
        <v>43188</v>
      </c>
      <c r="EV71" s="698" t="str">
        <f t="shared" ca="1" si="315"/>
        <v>0</v>
      </c>
      <c r="EW71" s="699"/>
      <c r="EX71" s="701">
        <f t="shared" ref="EX71:EX76" ca="1" si="357">IF(EW71&lt;TODAY(),TODAY(),EW71)</f>
        <v>43188</v>
      </c>
      <c r="EY71" s="697" t="str">
        <f t="shared" ca="1" si="317"/>
        <v>0</v>
      </c>
      <c r="EZ71" s="696"/>
      <c r="FA71" s="701">
        <f t="shared" ref="FA71:FA76" ca="1" si="358">IF(EZ71&lt;TODAY(),TODAY(),EZ71)</f>
        <v>43188</v>
      </c>
      <c r="FB71" s="697" t="str">
        <f t="shared" ca="1" si="319"/>
        <v>0</v>
      </c>
      <c r="FC71" s="703"/>
      <c r="FD71" s="701">
        <f t="shared" ref="FD71:FD76" ca="1" si="359">IF(FC71&lt;TODAY(),TODAY(),FC71)</f>
        <v>43188</v>
      </c>
      <c r="FE71" s="697" t="str">
        <f t="shared" ca="1" si="320"/>
        <v>0</v>
      </c>
      <c r="FF71" s="703"/>
      <c r="FG71" s="701">
        <f t="shared" ref="FG71:FG76" ca="1" si="360">IF(FF71&lt;TODAY(),TODAY(),FF71)</f>
        <v>43188</v>
      </c>
      <c r="FH71" s="697" t="str">
        <f t="shared" ca="1" si="321"/>
        <v>0</v>
      </c>
      <c r="FI71" s="703"/>
      <c r="FJ71" s="701">
        <f t="shared" ref="FJ71:FJ76" ca="1" si="361">IF(FI71&lt;TODAY(),TODAY(),FI71)</f>
        <v>43188</v>
      </c>
      <c r="FK71" s="697" t="str">
        <f t="shared" ca="1" si="322"/>
        <v>0</v>
      </c>
      <c r="FL71" s="703"/>
      <c r="FM71" s="703"/>
      <c r="FN71" s="703"/>
      <c r="FO71" s="701">
        <v>43850</v>
      </c>
      <c r="FP71" s="701">
        <f t="shared" si="323"/>
        <v>43876</v>
      </c>
      <c r="FQ71" s="699">
        <f t="shared" ca="1" si="348"/>
        <v>7.8</v>
      </c>
      <c r="FR71" s="701">
        <v>44378</v>
      </c>
      <c r="FS71" s="701">
        <f t="shared" si="324"/>
        <v>43936</v>
      </c>
      <c r="FT71" s="727">
        <v>0</v>
      </c>
      <c r="FU71" s="727">
        <v>0</v>
      </c>
      <c r="FV71" s="727"/>
      <c r="FW71" s="727"/>
      <c r="FX71" s="728">
        <f t="shared" ca="1" si="325"/>
        <v>14.7</v>
      </c>
      <c r="FY71" s="728">
        <f t="shared" ref="FY71:FY104" si="362">(FS71-FR71)/30</f>
        <v>-14.733333333333333</v>
      </c>
      <c r="FZ71" s="724"/>
      <c r="GA71" s="741"/>
      <c r="GB71" s="724" t="s">
        <v>863</v>
      </c>
      <c r="GC71" s="724"/>
      <c r="GD71" s="117"/>
      <c r="GE71" s="117"/>
      <c r="GF71" s="95">
        <f>+GP71+GU71+HB71+HV71+HG71+HF71</f>
        <v>3625157</v>
      </c>
      <c r="GG71" s="95">
        <f>GQ71+GV71+HA71+HC71+HG71</f>
        <v>800000</v>
      </c>
      <c r="GH71" s="95">
        <f t="shared" si="328"/>
        <v>-2825157</v>
      </c>
      <c r="GI71" s="493"/>
      <c r="GJ71" s="493"/>
      <c r="GK71" s="95"/>
      <c r="GL71" s="95"/>
      <c r="GM71" s="95">
        <f t="shared" si="331"/>
        <v>0</v>
      </c>
      <c r="GN71" s="95">
        <f t="shared" si="332"/>
        <v>0</v>
      </c>
      <c r="GO71" s="326">
        <v>0.4</v>
      </c>
      <c r="GP71" s="95"/>
      <c r="GQ71" s="95"/>
      <c r="GR71" s="95"/>
      <c r="GS71" s="95">
        <f t="shared" si="333"/>
        <v>0</v>
      </c>
      <c r="GT71" s="95"/>
      <c r="GU71" s="791">
        <f>2825157-HF71</f>
        <v>2559532</v>
      </c>
      <c r="GV71" s="95">
        <f t="shared" si="343"/>
        <v>0</v>
      </c>
      <c r="GW71" s="95"/>
      <c r="GX71" s="95"/>
      <c r="GY71" s="95">
        <f t="shared" si="334"/>
        <v>-2559532</v>
      </c>
      <c r="GZ71" s="892">
        <f>GU71/AD71</f>
        <v>19996.34375</v>
      </c>
      <c r="HA71" s="95"/>
      <c r="HB71" s="95">
        <v>800000</v>
      </c>
      <c r="HC71" s="95">
        <f t="shared" ref="HC71:HC77" si="363">HB71</f>
        <v>800000</v>
      </c>
      <c r="HD71" s="95"/>
      <c r="HE71" s="326">
        <f t="shared" si="345"/>
        <v>1</v>
      </c>
      <c r="HF71" s="95">
        <v>265625</v>
      </c>
      <c r="HG71" s="70"/>
      <c r="HH71" s="91">
        <f t="shared" si="336"/>
        <v>0</v>
      </c>
      <c r="HI71" s="22">
        <f t="shared" si="346"/>
        <v>6250</v>
      </c>
      <c r="HJ71" s="84">
        <f t="shared" si="115"/>
        <v>6250</v>
      </c>
      <c r="HK71" s="494">
        <f t="shared" si="337"/>
        <v>0</v>
      </c>
      <c r="HL71" s="497">
        <v>6.31</v>
      </c>
      <c r="HM71" s="497"/>
      <c r="HN71" s="493"/>
      <c r="HO71" s="493"/>
      <c r="HP71" s="494">
        <f>(GP71+HB71+HO71)/AD71</f>
        <v>6250</v>
      </c>
      <c r="HQ71" s="493"/>
      <c r="HR71" s="494">
        <f t="shared" si="339"/>
        <v>6250</v>
      </c>
      <c r="HS71" s="111">
        <f t="shared" ref="HS71:HS103" si="364">(GP71+HB71+HO71+HQ71)/(HN71+GF71-HT71)</f>
        <v>0.22068009744129702</v>
      </c>
      <c r="HT71" s="493"/>
      <c r="HU71" s="493"/>
      <c r="HV71" s="493"/>
      <c r="HW71" s="498">
        <f t="shared" ref="HW71:HW103" si="365">GF71+HN71</f>
        <v>3625157</v>
      </c>
      <c r="HX71" s="293"/>
      <c r="HY71" s="293">
        <f t="shared" si="344"/>
        <v>0</v>
      </c>
      <c r="HZ71" s="294"/>
      <c r="IA71" s="297">
        <v>0</v>
      </c>
      <c r="IB71" s="297"/>
      <c r="IC71" s="269"/>
      <c r="ID71" s="269"/>
      <c r="IE71" s="491">
        <v>0</v>
      </c>
      <c r="IF71" s="278"/>
      <c r="IG71" s="290">
        <v>0</v>
      </c>
      <c r="IH71" s="278"/>
      <c r="II71" s="625"/>
      <c r="IJ71" s="295"/>
      <c r="IK71" s="300"/>
      <c r="IL71" s="298"/>
      <c r="IM71" s="298"/>
      <c r="IN71" s="292"/>
      <c r="IO71" s="293"/>
      <c r="IP71" s="292"/>
      <c r="IQ71" s="293"/>
      <c r="IR71" s="323"/>
      <c r="IS71" s="323"/>
      <c r="IT71" s="323"/>
      <c r="IU71" s="323"/>
      <c r="IV71" s="286"/>
      <c r="IW71" s="286"/>
      <c r="IX71" s="286"/>
      <c r="IY71" s="286"/>
      <c r="IZ71" s="286"/>
      <c r="JA71" s="286"/>
      <c r="JB71" s="297" t="e">
        <f>$JB$1*HX71</f>
        <v>#VALUE!</v>
      </c>
      <c r="JC71" s="122"/>
      <c r="JD71" s="295"/>
      <c r="JE71" s="122"/>
      <c r="JF71" s="122"/>
      <c r="JG71" s="295"/>
    </row>
    <row r="72" spans="1:267" ht="24.95" customHeight="1">
      <c r="A72" s="613" t="s">
        <v>503</v>
      </c>
      <c r="B72" s="56" t="s">
        <v>28</v>
      </c>
      <c r="C72" s="56" t="s">
        <v>113</v>
      </c>
      <c r="D72" s="56">
        <v>2018</v>
      </c>
      <c r="E72" s="56"/>
      <c r="F72" s="56" t="s">
        <v>488</v>
      </c>
      <c r="G72" s="56" t="s">
        <v>184</v>
      </c>
      <c r="H72" s="56" t="s">
        <v>767</v>
      </c>
      <c r="I72" s="56"/>
      <c r="J72" s="56" t="s">
        <v>508</v>
      </c>
      <c r="K72" s="272" t="s">
        <v>529</v>
      </c>
      <c r="L72" s="176" t="s">
        <v>64</v>
      </c>
      <c r="M72" s="177" t="s">
        <v>523</v>
      </c>
      <c r="N72" s="329" t="s">
        <v>528</v>
      </c>
      <c r="O72" s="243"/>
      <c r="P72" s="243"/>
      <c r="Q72" s="243"/>
      <c r="R72" s="243"/>
      <c r="S72" s="243"/>
      <c r="T72" s="819"/>
      <c r="U72" s="819"/>
      <c r="V72" s="819"/>
      <c r="W72" s="243"/>
      <c r="X72" s="218"/>
      <c r="Y72" s="226" t="e">
        <f t="shared" si="285"/>
        <v>#DIV/0!</v>
      </c>
      <c r="Z72" s="218"/>
      <c r="AA72" s="218"/>
      <c r="AB72" s="219"/>
      <c r="AC72" s="56" t="s">
        <v>487</v>
      </c>
      <c r="AD72" s="342">
        <f t="shared" si="286"/>
        <v>23</v>
      </c>
      <c r="AE72" s="67"/>
      <c r="AF72" s="119"/>
      <c r="AG72" s="119"/>
      <c r="AH72" s="203">
        <v>23</v>
      </c>
      <c r="AI72" s="60"/>
      <c r="AJ72" s="94"/>
      <c r="AK72" s="10"/>
      <c r="AL72" s="81"/>
      <c r="AM72" s="81"/>
      <c r="AN72" s="81"/>
      <c r="AO72" s="81"/>
      <c r="AP72" s="81"/>
      <c r="AQ72" s="60"/>
      <c r="AR72" s="79"/>
      <c r="AS72" s="81"/>
      <c r="AT72" s="60"/>
      <c r="AU72" s="56"/>
      <c r="AV72" s="56"/>
      <c r="AW72" s="56"/>
      <c r="AX72" s="56"/>
      <c r="AY72" s="114"/>
      <c r="AZ72" s="114"/>
      <c r="BA72" s="99"/>
      <c r="BB72" s="214"/>
      <c r="BC72" s="101"/>
      <c r="BD72" s="101"/>
      <c r="BE72" s="214"/>
      <c r="BF72" s="101"/>
      <c r="BG72" s="170"/>
      <c r="BH72" s="213"/>
      <c r="BI72" s="170"/>
      <c r="BJ72" s="170"/>
      <c r="BK72" s="102"/>
      <c r="BL72" s="198">
        <f t="shared" si="288"/>
        <v>731</v>
      </c>
      <c r="BM72" s="198">
        <f t="shared" si="289"/>
        <v>1096</v>
      </c>
      <c r="BN72" s="198"/>
      <c r="BO72" s="170"/>
      <c r="BP72" s="175"/>
      <c r="BQ72" s="102"/>
      <c r="BR72" s="103"/>
      <c r="BS72" s="103"/>
      <c r="BT72" s="103"/>
      <c r="BU72" s="168"/>
      <c r="BV72" s="266"/>
      <c r="BW72" s="266"/>
      <c r="BX72" s="167"/>
      <c r="BY72" s="266"/>
      <c r="BZ72" s="266"/>
      <c r="CA72" s="266"/>
      <c r="CB72" s="517"/>
      <c r="CC72" s="517"/>
      <c r="CD72" s="615"/>
      <c r="CE72" s="452">
        <v>43480</v>
      </c>
      <c r="CF72" s="445"/>
      <c r="CG72" s="600">
        <f t="shared" si="290"/>
        <v>1449.3333333333333</v>
      </c>
      <c r="CH72" s="260">
        <v>12</v>
      </c>
      <c r="CI72" s="260">
        <f t="shared" si="291"/>
        <v>13</v>
      </c>
      <c r="CJ72" s="255">
        <f t="shared" si="292"/>
        <v>13</v>
      </c>
      <c r="CK72" s="255">
        <f t="shared" si="293"/>
        <v>15</v>
      </c>
      <c r="CL72" s="255">
        <f t="shared" si="294"/>
        <v>1</v>
      </c>
      <c r="CM72" s="255">
        <f t="shared" si="295"/>
        <v>2</v>
      </c>
      <c r="CN72" s="261"/>
      <c r="CO72" s="261">
        <f t="shared" si="296"/>
        <v>0</v>
      </c>
      <c r="CP72" s="256"/>
      <c r="CQ72" s="797">
        <f t="shared" si="297"/>
        <v>43845</v>
      </c>
      <c r="CR72" s="454">
        <f>DATE(YEAR(CE72),MONTH(CE72)+CH72+1,DAY(CE72))</f>
        <v>43876</v>
      </c>
      <c r="CS72" s="752"/>
      <c r="CT72" s="256"/>
      <c r="CU72" s="883">
        <f t="shared" si="300"/>
        <v>0</v>
      </c>
      <c r="CV72" s="256"/>
      <c r="CW72" s="749">
        <f t="shared" si="350"/>
        <v>43905</v>
      </c>
      <c r="CX72" s="612">
        <f>DATE(YEAR(CW72),MONTH(CW72)+1,DAY(CW72))</f>
        <v>43936</v>
      </c>
      <c r="CY72" s="753"/>
      <c r="CZ72" s="122"/>
      <c r="DA72" s="125"/>
      <c r="DB72" s="125"/>
      <c r="DC72" s="125"/>
      <c r="DD72" s="125"/>
      <c r="DE72" s="125"/>
      <c r="DF72" s="56"/>
      <c r="DG72" s="296">
        <f t="shared" si="303"/>
        <v>44242</v>
      </c>
      <c r="DH72" s="56"/>
      <c r="DI72" s="56"/>
      <c r="DJ72" s="56"/>
      <c r="DK72" s="56"/>
      <c r="DL72" s="56"/>
      <c r="DM72" s="56"/>
      <c r="DN72" s="56"/>
      <c r="DO72" s="56"/>
      <c r="DP72" s="56"/>
      <c r="DQ72" s="56"/>
      <c r="DR72" s="56"/>
      <c r="DS72" s="56"/>
      <c r="DT72" s="710"/>
      <c r="DU72" s="711"/>
      <c r="DV72" s="711"/>
      <c r="DW72" s="715" t="str">
        <f t="shared" si="304"/>
        <v>0</v>
      </c>
      <c r="DX72" s="713">
        <v>43007</v>
      </c>
      <c r="DY72" s="713">
        <f ca="1">IF(DX72&lt;TODAY(),TODAY(),DX72)</f>
        <v>43188</v>
      </c>
      <c r="DZ72" s="715">
        <f t="shared" ca="1" si="305"/>
        <v>181</v>
      </c>
      <c r="EA72" s="713">
        <v>42986</v>
      </c>
      <c r="EB72" s="710">
        <f ca="1">IF(EA72&lt;TODAY(),TODAY(),EA72)</f>
        <v>43188</v>
      </c>
      <c r="EC72" s="715">
        <f t="shared" ca="1" si="306"/>
        <v>202</v>
      </c>
      <c r="ED72" s="713">
        <v>43067</v>
      </c>
      <c r="EE72" s="710">
        <f t="shared" ca="1" si="351"/>
        <v>43188</v>
      </c>
      <c r="EF72" s="715">
        <f t="shared" ca="1" si="307"/>
        <v>121</v>
      </c>
      <c r="EG72" s="713">
        <v>43126</v>
      </c>
      <c r="EH72" s="713">
        <f t="shared" ca="1" si="352"/>
        <v>43188</v>
      </c>
      <c r="EI72" s="715">
        <f t="shared" ca="1" si="308"/>
        <v>62</v>
      </c>
      <c r="EJ72" s="718"/>
      <c r="EK72" s="695">
        <v>43572</v>
      </c>
      <c r="EL72" s="701">
        <f t="shared" ca="1" si="353"/>
        <v>43572</v>
      </c>
      <c r="EM72" s="697">
        <f t="shared" ca="1" si="309"/>
        <v>0</v>
      </c>
      <c r="EN72" s="695">
        <v>43587</v>
      </c>
      <c r="EO72" s="701">
        <f t="shared" ca="1" si="354"/>
        <v>43587</v>
      </c>
      <c r="EP72" s="697">
        <f t="shared" ca="1" si="311"/>
        <v>0</v>
      </c>
      <c r="EQ72" s="695"/>
      <c r="ER72" s="701">
        <f t="shared" ca="1" si="355"/>
        <v>43188</v>
      </c>
      <c r="ES72" s="697" t="str">
        <f t="shared" ca="1" si="313"/>
        <v>0</v>
      </c>
      <c r="ET72" s="695"/>
      <c r="EU72" s="722">
        <f t="shared" ca="1" si="356"/>
        <v>43188</v>
      </c>
      <c r="EV72" s="698" t="str">
        <f t="shared" ca="1" si="315"/>
        <v>0</v>
      </c>
      <c r="EW72" s="699"/>
      <c r="EX72" s="701">
        <f t="shared" ca="1" si="357"/>
        <v>43188</v>
      </c>
      <c r="EY72" s="697" t="str">
        <f t="shared" ca="1" si="317"/>
        <v>0</v>
      </c>
      <c r="EZ72" s="702"/>
      <c r="FA72" s="701">
        <f t="shared" ca="1" si="358"/>
        <v>43188</v>
      </c>
      <c r="FB72" s="697" t="str">
        <f t="shared" ca="1" si="319"/>
        <v>0</v>
      </c>
      <c r="FC72" s="703"/>
      <c r="FD72" s="701">
        <f t="shared" ca="1" si="359"/>
        <v>43188</v>
      </c>
      <c r="FE72" s="697" t="str">
        <f t="shared" ca="1" si="320"/>
        <v>0</v>
      </c>
      <c r="FF72" s="703"/>
      <c r="FG72" s="701">
        <f t="shared" ca="1" si="360"/>
        <v>43188</v>
      </c>
      <c r="FH72" s="697" t="str">
        <f t="shared" ca="1" si="321"/>
        <v>0</v>
      </c>
      <c r="FI72" s="703"/>
      <c r="FJ72" s="701">
        <f t="shared" ca="1" si="361"/>
        <v>43188</v>
      </c>
      <c r="FK72" s="697" t="str">
        <f t="shared" ca="1" si="322"/>
        <v>0</v>
      </c>
      <c r="FL72" s="703"/>
      <c r="FM72" s="703"/>
      <c r="FN72" s="703"/>
      <c r="FO72" s="701">
        <v>43850</v>
      </c>
      <c r="FP72" s="701">
        <f t="shared" si="323"/>
        <v>43876</v>
      </c>
      <c r="FQ72" s="699">
        <f t="shared" ca="1" si="348"/>
        <v>8.7666666666666675</v>
      </c>
      <c r="FR72" s="701">
        <v>44347</v>
      </c>
      <c r="FS72" s="701">
        <f t="shared" si="324"/>
        <v>43936</v>
      </c>
      <c r="FT72" s="727">
        <v>0</v>
      </c>
      <c r="FU72" s="727">
        <v>0</v>
      </c>
      <c r="FV72" s="727"/>
      <c r="FW72" s="727"/>
      <c r="FX72" s="728">
        <f t="shared" ca="1" si="325"/>
        <v>18.866666666666667</v>
      </c>
      <c r="FY72" s="728">
        <f t="shared" si="362"/>
        <v>-13.7</v>
      </c>
      <c r="FZ72" s="724"/>
      <c r="GA72" s="741"/>
      <c r="GB72" s="724" t="s">
        <v>863</v>
      </c>
      <c r="GC72" s="724"/>
      <c r="GD72" s="117"/>
      <c r="GE72" s="117"/>
      <c r="GF72" s="95">
        <f>+GP72+GU72+HB72+HV72+HG72+HF72</f>
        <v>993116</v>
      </c>
      <c r="GG72" s="95">
        <f>GQ72+GV72+HA72+HC72+HG72</f>
        <v>298080</v>
      </c>
      <c r="GH72" s="95">
        <f t="shared" si="328"/>
        <v>-695036</v>
      </c>
      <c r="GI72" s="493"/>
      <c r="GJ72" s="493"/>
      <c r="GK72" s="95"/>
      <c r="GL72" s="95"/>
      <c r="GM72" s="95">
        <f t="shared" si="331"/>
        <v>0</v>
      </c>
      <c r="GN72" s="95">
        <f t="shared" si="332"/>
        <v>0</v>
      </c>
      <c r="GO72" s="326">
        <v>0.4</v>
      </c>
      <c r="GP72" s="95"/>
      <c r="GQ72" s="95"/>
      <c r="GR72" s="95"/>
      <c r="GS72" s="95">
        <f t="shared" si="333"/>
        <v>0</v>
      </c>
      <c r="GT72" s="95"/>
      <c r="GU72" s="791">
        <f>695036-HF72</f>
        <v>515036</v>
      </c>
      <c r="GV72" s="95">
        <f t="shared" si="343"/>
        <v>0</v>
      </c>
      <c r="GW72" s="95"/>
      <c r="GX72" s="95"/>
      <c r="GY72" s="95">
        <f t="shared" si="334"/>
        <v>-515036</v>
      </c>
      <c r="GZ72" s="892">
        <f>GU72/AD72</f>
        <v>22392.869565217392</v>
      </c>
      <c r="HA72" s="95"/>
      <c r="HB72" s="95">
        <v>298080</v>
      </c>
      <c r="HC72" s="95">
        <f t="shared" si="363"/>
        <v>298080</v>
      </c>
      <c r="HD72" s="95"/>
      <c r="HE72" s="326">
        <f t="shared" si="345"/>
        <v>1</v>
      </c>
      <c r="HF72" s="95">
        <v>180000</v>
      </c>
      <c r="HG72" s="70"/>
      <c r="HH72" s="91">
        <f t="shared" si="336"/>
        <v>0</v>
      </c>
      <c r="HI72" s="22">
        <f t="shared" si="346"/>
        <v>12960</v>
      </c>
      <c r="HJ72" s="84">
        <f t="shared" si="115"/>
        <v>12960</v>
      </c>
      <c r="HK72" s="494">
        <f t="shared" si="337"/>
        <v>0</v>
      </c>
      <c r="HL72" s="497">
        <v>6.31</v>
      </c>
      <c r="HM72" s="497"/>
      <c r="HN72" s="493"/>
      <c r="HO72" s="493"/>
      <c r="HP72" s="494">
        <f>(GP72+HB72+HO72)/AD72</f>
        <v>12960</v>
      </c>
      <c r="HQ72" s="493"/>
      <c r="HR72" s="494">
        <f t="shared" si="339"/>
        <v>12960</v>
      </c>
      <c r="HS72" s="111">
        <f t="shared" si="364"/>
        <v>0.30014620648544582</v>
      </c>
      <c r="HT72" s="493"/>
      <c r="HU72" s="493"/>
      <c r="HV72" s="493"/>
      <c r="HW72" s="498">
        <f t="shared" si="365"/>
        <v>993116</v>
      </c>
      <c r="HX72" s="293"/>
      <c r="HY72" s="293">
        <f t="shared" si="344"/>
        <v>0</v>
      </c>
      <c r="HZ72" s="294"/>
      <c r="IA72" s="297">
        <v>0</v>
      </c>
      <c r="IB72" s="297"/>
      <c r="IC72" s="269"/>
      <c r="ID72" s="269"/>
      <c r="IE72" s="491">
        <v>0</v>
      </c>
      <c r="IF72" s="278"/>
      <c r="IG72" s="290">
        <v>0</v>
      </c>
      <c r="IH72" s="278"/>
      <c r="II72" s="625"/>
      <c r="IJ72" s="295"/>
      <c r="IK72" s="300"/>
      <c r="IL72" s="298"/>
      <c r="IM72" s="298"/>
      <c r="IN72" s="292"/>
      <c r="IO72" s="297"/>
      <c r="IP72" s="292"/>
      <c r="IQ72" s="297"/>
      <c r="IR72" s="323"/>
      <c r="IS72" s="323"/>
      <c r="IT72" s="323"/>
      <c r="IU72" s="323"/>
      <c r="IV72" s="286"/>
      <c r="IW72" s="286"/>
      <c r="IX72" s="286"/>
      <c r="IY72" s="286"/>
      <c r="IZ72" s="286"/>
      <c r="JA72" s="286"/>
      <c r="JB72" s="297" t="e">
        <f>$JB$1*HX72</f>
        <v>#VALUE!</v>
      </c>
      <c r="JC72" s="122"/>
      <c r="JD72" s="295"/>
      <c r="JE72" s="122"/>
      <c r="JF72" s="122"/>
      <c r="JG72" s="295"/>
    </row>
    <row r="73" spans="1:267" ht="24.95" customHeight="1">
      <c r="A73" s="613" t="s">
        <v>501</v>
      </c>
      <c r="B73" s="56" t="s">
        <v>28</v>
      </c>
      <c r="C73" s="56" t="s">
        <v>113</v>
      </c>
      <c r="D73" s="56">
        <v>2018</v>
      </c>
      <c r="E73" s="56"/>
      <c r="F73" s="56" t="s">
        <v>488</v>
      </c>
      <c r="G73" s="56" t="s">
        <v>184</v>
      </c>
      <c r="H73" s="56" t="s">
        <v>767</v>
      </c>
      <c r="I73" s="56"/>
      <c r="J73" s="56" t="s">
        <v>502</v>
      </c>
      <c r="K73" s="272" t="s">
        <v>545</v>
      </c>
      <c r="L73" s="176" t="s">
        <v>64</v>
      </c>
      <c r="M73" s="177" t="s">
        <v>544</v>
      </c>
      <c r="N73" s="178">
        <v>33994</v>
      </c>
      <c r="O73" s="243"/>
      <c r="P73" s="243"/>
      <c r="Q73" s="243"/>
      <c r="R73" s="243"/>
      <c r="S73" s="243"/>
      <c r="T73" s="819"/>
      <c r="U73" s="819"/>
      <c r="V73" s="819"/>
      <c r="W73" s="243"/>
      <c r="X73" s="218"/>
      <c r="Y73" s="226" t="e">
        <f t="shared" si="285"/>
        <v>#DIV/0!</v>
      </c>
      <c r="Z73" s="218"/>
      <c r="AA73" s="218"/>
      <c r="AB73" s="219"/>
      <c r="AC73" s="56" t="s">
        <v>487</v>
      </c>
      <c r="AD73" s="342">
        <f t="shared" si="286"/>
        <v>30</v>
      </c>
      <c r="AE73" s="67"/>
      <c r="AF73" s="119"/>
      <c r="AG73" s="119"/>
      <c r="AH73" s="342">
        <v>30</v>
      </c>
      <c r="AI73" s="60"/>
      <c r="AJ73" s="94"/>
      <c r="AK73" s="10"/>
      <c r="AL73" s="81"/>
      <c r="AM73" s="81"/>
      <c r="AN73" s="81"/>
      <c r="AO73" s="81"/>
      <c r="AP73" s="81"/>
      <c r="AQ73" s="60"/>
      <c r="AR73" s="79"/>
      <c r="AS73" s="81"/>
      <c r="AT73" s="60"/>
      <c r="AU73" s="56"/>
      <c r="AV73" s="56"/>
      <c r="AW73" s="56"/>
      <c r="AX73" s="56"/>
      <c r="AY73" s="114"/>
      <c r="AZ73" s="114"/>
      <c r="BA73" s="99"/>
      <c r="BB73" s="214"/>
      <c r="BC73" s="101"/>
      <c r="BD73" s="101"/>
      <c r="BE73" s="214"/>
      <c r="BF73" s="101"/>
      <c r="BG73" s="170"/>
      <c r="BH73" s="213"/>
      <c r="BI73" s="170"/>
      <c r="BJ73" s="170"/>
      <c r="BK73" s="102"/>
      <c r="BL73" s="198">
        <f t="shared" si="288"/>
        <v>731</v>
      </c>
      <c r="BM73" s="198">
        <f t="shared" si="289"/>
        <v>1096</v>
      </c>
      <c r="BN73" s="198"/>
      <c r="BO73" s="169"/>
      <c r="BP73" s="175"/>
      <c r="BQ73" s="102"/>
      <c r="BR73" s="103"/>
      <c r="BS73" s="103"/>
      <c r="BT73" s="103"/>
      <c r="BU73" s="168"/>
      <c r="BV73" s="266"/>
      <c r="BW73" s="266"/>
      <c r="BX73" s="167"/>
      <c r="BY73" s="266"/>
      <c r="BZ73" s="266"/>
      <c r="CA73" s="266"/>
      <c r="CB73" s="517"/>
      <c r="CC73" s="517"/>
      <c r="CD73" s="615"/>
      <c r="CE73" s="452">
        <v>43480</v>
      </c>
      <c r="CF73" s="445"/>
      <c r="CG73" s="600">
        <f t="shared" si="290"/>
        <v>1449.3333333333333</v>
      </c>
      <c r="CH73" s="260">
        <v>12</v>
      </c>
      <c r="CI73" s="260">
        <f t="shared" si="291"/>
        <v>13</v>
      </c>
      <c r="CJ73" s="255">
        <f t="shared" si="292"/>
        <v>13</v>
      </c>
      <c r="CK73" s="255">
        <f t="shared" si="293"/>
        <v>15</v>
      </c>
      <c r="CL73" s="255">
        <f t="shared" si="294"/>
        <v>1</v>
      </c>
      <c r="CM73" s="255">
        <f t="shared" si="295"/>
        <v>2</v>
      </c>
      <c r="CN73" s="261"/>
      <c r="CO73" s="261">
        <f t="shared" si="296"/>
        <v>0</v>
      </c>
      <c r="CP73" s="256"/>
      <c r="CQ73" s="797">
        <f t="shared" si="297"/>
        <v>43845</v>
      </c>
      <c r="CR73" s="454">
        <f>DATE(YEAR(CE73),MONTH(CE73)+CH73+1,DAY(CE73))</f>
        <v>43876</v>
      </c>
      <c r="CS73" s="752"/>
      <c r="CT73" s="256"/>
      <c r="CU73" s="883">
        <f t="shared" si="300"/>
        <v>0</v>
      </c>
      <c r="CV73" s="256"/>
      <c r="CW73" s="749">
        <f t="shared" si="350"/>
        <v>43905</v>
      </c>
      <c r="CX73" s="612">
        <f>DATE(YEAR(CW73),MONTH(CW73)+1,DAY(CW73))</f>
        <v>43936</v>
      </c>
      <c r="CY73" s="753"/>
      <c r="CZ73" s="122"/>
      <c r="DA73" s="125"/>
      <c r="DB73" s="125"/>
      <c r="DC73" s="125"/>
      <c r="DD73" s="125"/>
      <c r="DE73" s="125"/>
      <c r="DF73" s="56"/>
      <c r="DG73" s="296">
        <f t="shared" si="303"/>
        <v>44242</v>
      </c>
      <c r="DH73" s="56"/>
      <c r="DI73" s="56"/>
      <c r="DJ73" s="56"/>
      <c r="DK73" s="56"/>
      <c r="DL73" s="56"/>
      <c r="DM73" s="56"/>
      <c r="DN73" s="56"/>
      <c r="DO73" s="56"/>
      <c r="DP73" s="56"/>
      <c r="DQ73" s="56"/>
      <c r="DR73" s="56"/>
      <c r="DS73" s="56"/>
      <c r="DT73" s="710"/>
      <c r="DU73" s="713"/>
      <c r="DV73" s="713"/>
      <c r="DW73" s="715" t="str">
        <f t="shared" si="304"/>
        <v>0</v>
      </c>
      <c r="DX73" s="713">
        <v>42969</v>
      </c>
      <c r="DY73" s="713">
        <f ca="1">IF(DX73&lt;TODAY(),TODAY(),DX73)</f>
        <v>43188</v>
      </c>
      <c r="DZ73" s="715">
        <f t="shared" ca="1" si="305"/>
        <v>219</v>
      </c>
      <c r="EA73" s="713">
        <v>42948</v>
      </c>
      <c r="EB73" s="713">
        <f ca="1">IF(EA73&lt;TODAY(),TODAY(),EA73)</f>
        <v>43188</v>
      </c>
      <c r="EC73" s="715">
        <f t="shared" ca="1" si="306"/>
        <v>240</v>
      </c>
      <c r="ED73" s="713">
        <v>43028</v>
      </c>
      <c r="EE73" s="713">
        <f t="shared" ca="1" si="351"/>
        <v>43188</v>
      </c>
      <c r="EF73" s="715">
        <f t="shared" ca="1" si="307"/>
        <v>160</v>
      </c>
      <c r="EG73" s="713">
        <v>43089</v>
      </c>
      <c r="EH73" s="713">
        <f t="shared" ca="1" si="352"/>
        <v>43188</v>
      </c>
      <c r="EI73" s="715">
        <f t="shared" ca="1" si="308"/>
        <v>99</v>
      </c>
      <c r="EJ73" s="718"/>
      <c r="EK73" s="695">
        <v>43532</v>
      </c>
      <c r="EL73" s="701">
        <f t="shared" ca="1" si="353"/>
        <v>43532</v>
      </c>
      <c r="EM73" s="697">
        <f t="shared" ca="1" si="309"/>
        <v>0</v>
      </c>
      <c r="EN73" s="695">
        <v>43549</v>
      </c>
      <c r="EO73" s="701">
        <f t="shared" ca="1" si="354"/>
        <v>43549</v>
      </c>
      <c r="EP73" s="697">
        <f t="shared" ca="1" si="311"/>
        <v>0</v>
      </c>
      <c r="EQ73" s="695"/>
      <c r="ER73" s="701">
        <f t="shared" ca="1" si="355"/>
        <v>43188</v>
      </c>
      <c r="ES73" s="697" t="str">
        <f t="shared" ca="1" si="313"/>
        <v>0</v>
      </c>
      <c r="ET73" s="695"/>
      <c r="EU73" s="722">
        <f t="shared" ca="1" si="356"/>
        <v>43188</v>
      </c>
      <c r="EV73" s="698" t="str">
        <f t="shared" ca="1" si="315"/>
        <v>0</v>
      </c>
      <c r="EW73" s="699"/>
      <c r="EX73" s="701">
        <f t="shared" ca="1" si="357"/>
        <v>43188</v>
      </c>
      <c r="EY73" s="697" t="str">
        <f t="shared" ca="1" si="317"/>
        <v>0</v>
      </c>
      <c r="EZ73" s="702"/>
      <c r="FA73" s="701">
        <f t="shared" ca="1" si="358"/>
        <v>43188</v>
      </c>
      <c r="FB73" s="697" t="str">
        <f t="shared" ca="1" si="319"/>
        <v>0</v>
      </c>
      <c r="FC73" s="703"/>
      <c r="FD73" s="701">
        <f t="shared" ca="1" si="359"/>
        <v>43188</v>
      </c>
      <c r="FE73" s="697" t="str">
        <f t="shared" ca="1" si="320"/>
        <v>0</v>
      </c>
      <c r="FF73" s="703"/>
      <c r="FG73" s="701">
        <f t="shared" ca="1" si="360"/>
        <v>43188</v>
      </c>
      <c r="FH73" s="697" t="str">
        <f t="shared" ca="1" si="321"/>
        <v>0</v>
      </c>
      <c r="FI73" s="701"/>
      <c r="FJ73" s="701">
        <f t="shared" ca="1" si="361"/>
        <v>43188</v>
      </c>
      <c r="FK73" s="697" t="str">
        <f t="shared" ca="1" si="322"/>
        <v>0</v>
      </c>
      <c r="FL73" s="703"/>
      <c r="FM73" s="703"/>
      <c r="FN73" s="703"/>
      <c r="FO73" s="701">
        <v>43840</v>
      </c>
      <c r="FP73" s="701">
        <f t="shared" si="323"/>
        <v>43876</v>
      </c>
      <c r="FQ73" s="699">
        <f t="shared" ca="1" si="348"/>
        <v>9.6999999999999993</v>
      </c>
      <c r="FR73" s="701">
        <v>44309</v>
      </c>
      <c r="FS73" s="701">
        <f t="shared" si="324"/>
        <v>43936</v>
      </c>
      <c r="FT73" s="727">
        <v>0</v>
      </c>
      <c r="FU73" s="727">
        <v>0</v>
      </c>
      <c r="FV73" s="727"/>
      <c r="FW73" s="727"/>
      <c r="FX73" s="728">
        <f t="shared" ca="1" si="325"/>
        <v>23.933333333333334</v>
      </c>
      <c r="FY73" s="728">
        <f t="shared" si="362"/>
        <v>-12.433333333333334</v>
      </c>
      <c r="FZ73" s="724"/>
      <c r="GA73" s="741"/>
      <c r="GB73" s="724" t="s">
        <v>863</v>
      </c>
      <c r="GC73" s="724"/>
      <c r="GD73" s="117"/>
      <c r="GE73" s="117"/>
      <c r="GF73" s="95">
        <f>+GP73+GU73+HB73+HV73+HG73+HF73</f>
        <v>983249.38</v>
      </c>
      <c r="GG73" s="95">
        <f t="shared" ref="GG73:GG84" si="366">GQ73+GV73+HC73+HV73+HD73+HG73</f>
        <v>187500</v>
      </c>
      <c r="GH73" s="95">
        <f t="shared" si="328"/>
        <v>-795749.38</v>
      </c>
      <c r="GI73" s="493"/>
      <c r="GJ73" s="493"/>
      <c r="GK73" s="95"/>
      <c r="GL73" s="95"/>
      <c r="GM73" s="95">
        <f t="shared" si="331"/>
        <v>0</v>
      </c>
      <c r="GN73" s="95">
        <f t="shared" si="332"/>
        <v>0</v>
      </c>
      <c r="GO73" s="326">
        <v>0.4</v>
      </c>
      <c r="GP73" s="95"/>
      <c r="GQ73" s="95"/>
      <c r="GR73" s="95"/>
      <c r="GS73" s="95">
        <f t="shared" si="333"/>
        <v>0</v>
      </c>
      <c r="GT73" s="95"/>
      <c r="GU73" s="791">
        <f>795749.38-HF73</f>
        <v>545749.38</v>
      </c>
      <c r="GV73" s="95">
        <f t="shared" si="343"/>
        <v>0</v>
      </c>
      <c r="GW73" s="95"/>
      <c r="GX73" s="95"/>
      <c r="GY73" s="95">
        <f t="shared" si="334"/>
        <v>-545749.38</v>
      </c>
      <c r="GZ73" s="892">
        <f>GU73/AH73</f>
        <v>18191.646000000001</v>
      </c>
      <c r="HA73" s="95"/>
      <c r="HB73" s="95">
        <v>187500</v>
      </c>
      <c r="HC73" s="95">
        <f t="shared" si="363"/>
        <v>187500</v>
      </c>
      <c r="HD73" s="95"/>
      <c r="HE73" s="326">
        <f t="shared" si="345"/>
        <v>1</v>
      </c>
      <c r="HF73" s="95">
        <v>250000</v>
      </c>
      <c r="HG73" s="70"/>
      <c r="HH73" s="91">
        <f t="shared" si="336"/>
        <v>0</v>
      </c>
      <c r="HI73" s="22">
        <f t="shared" si="346"/>
        <v>6250</v>
      </c>
      <c r="HJ73" s="84">
        <f t="shared" si="115"/>
        <v>6250</v>
      </c>
      <c r="HK73" s="494">
        <f>HH73/AH73</f>
        <v>0</v>
      </c>
      <c r="HL73" s="497">
        <v>6.31</v>
      </c>
      <c r="HM73" s="497"/>
      <c r="HN73" s="493"/>
      <c r="HO73" s="493"/>
      <c r="HP73" s="494">
        <f>(GP73+HB73+HO73)/AH73</f>
        <v>6250</v>
      </c>
      <c r="HQ73" s="493"/>
      <c r="HR73" s="494">
        <f>(GQ73+HC73+HO73+HQ73)/AH73</f>
        <v>6250</v>
      </c>
      <c r="HS73" s="111">
        <f t="shared" si="364"/>
        <v>0.19069424686542899</v>
      </c>
      <c r="HT73" s="493"/>
      <c r="HU73" s="493"/>
      <c r="HV73" s="493"/>
      <c r="HW73" s="498">
        <f t="shared" si="365"/>
        <v>983249.38</v>
      </c>
      <c r="HX73" s="293"/>
      <c r="HY73" s="293">
        <f t="shared" si="344"/>
        <v>0</v>
      </c>
      <c r="HZ73" s="294"/>
      <c r="IA73" s="297">
        <v>0</v>
      </c>
      <c r="IB73" s="297"/>
      <c r="IC73" s="269"/>
      <c r="ID73" s="269"/>
      <c r="IE73" s="491">
        <v>0</v>
      </c>
      <c r="IF73" s="278"/>
      <c r="IG73" s="290">
        <v>0</v>
      </c>
      <c r="IH73" s="278"/>
      <c r="II73" s="625"/>
      <c r="IJ73" s="295"/>
      <c r="IK73" s="300"/>
      <c r="IL73" s="298"/>
      <c r="IM73" s="298"/>
      <c r="IN73" s="292"/>
      <c r="IO73" s="297"/>
      <c r="IP73" s="292"/>
      <c r="IQ73" s="297"/>
      <c r="IR73" s="323"/>
      <c r="IS73" s="323"/>
      <c r="IT73" s="323"/>
      <c r="IU73" s="323"/>
      <c r="IV73" s="286"/>
      <c r="IW73" s="286"/>
      <c r="IX73" s="286"/>
      <c r="IY73" s="286"/>
      <c r="IZ73" s="286"/>
      <c r="JA73" s="286"/>
      <c r="JB73" s="297" t="e">
        <f>$JB$1*HX73</f>
        <v>#VALUE!</v>
      </c>
      <c r="JC73" s="122"/>
      <c r="JD73" s="295"/>
      <c r="JE73" s="122"/>
      <c r="JF73" s="122"/>
      <c r="JG73" s="295"/>
    </row>
    <row r="74" spans="1:267" ht="24.95" customHeight="1">
      <c r="A74" s="613" t="s">
        <v>504</v>
      </c>
      <c r="B74" s="56" t="s">
        <v>46</v>
      </c>
      <c r="C74" s="56" t="s">
        <v>113</v>
      </c>
      <c r="D74" s="56">
        <v>2018</v>
      </c>
      <c r="E74" s="56"/>
      <c r="F74" s="56" t="s">
        <v>488</v>
      </c>
      <c r="G74" s="56" t="s">
        <v>184</v>
      </c>
      <c r="H74" s="56" t="s">
        <v>455</v>
      </c>
      <c r="I74" s="56"/>
      <c r="J74" s="56" t="s">
        <v>509</v>
      </c>
      <c r="K74" s="272" t="s">
        <v>548</v>
      </c>
      <c r="L74" s="176" t="s">
        <v>64</v>
      </c>
      <c r="M74" s="177" t="s">
        <v>527</v>
      </c>
      <c r="N74" s="178">
        <v>34319</v>
      </c>
      <c r="O74" s="243"/>
      <c r="P74" s="243"/>
      <c r="Q74" s="243"/>
      <c r="R74" s="243"/>
      <c r="S74" s="243"/>
      <c r="T74" s="819"/>
      <c r="U74" s="819"/>
      <c r="V74" s="819"/>
      <c r="W74" s="243"/>
      <c r="X74" s="218"/>
      <c r="Y74" s="226" t="e">
        <f t="shared" si="285"/>
        <v>#DIV/0!</v>
      </c>
      <c r="Z74" s="218"/>
      <c r="AA74" s="218"/>
      <c r="AB74" s="219"/>
      <c r="AC74" s="56" t="s">
        <v>487</v>
      </c>
      <c r="AD74" s="342">
        <f t="shared" si="286"/>
        <v>34</v>
      </c>
      <c r="AE74" s="67"/>
      <c r="AF74" s="119"/>
      <c r="AG74" s="119"/>
      <c r="AH74" s="342">
        <v>34</v>
      </c>
      <c r="AI74" s="60"/>
      <c r="AJ74" s="94"/>
      <c r="AK74" s="10"/>
      <c r="AL74" s="81"/>
      <c r="AM74" s="81"/>
      <c r="AN74" s="81"/>
      <c r="AO74" s="81"/>
      <c r="AP74" s="81"/>
      <c r="AQ74" s="60"/>
      <c r="AR74" s="79"/>
      <c r="AS74" s="81"/>
      <c r="AT74" s="60"/>
      <c r="AU74" s="56"/>
      <c r="AV74" s="56"/>
      <c r="AW74" s="56"/>
      <c r="AX74" s="56"/>
      <c r="AY74" s="114"/>
      <c r="AZ74" s="114"/>
      <c r="BA74" s="99"/>
      <c r="BB74" s="214"/>
      <c r="BC74" s="101"/>
      <c r="BD74" s="101"/>
      <c r="BE74" s="214"/>
      <c r="BF74" s="101"/>
      <c r="BG74" s="170"/>
      <c r="BH74" s="213"/>
      <c r="BI74" s="170"/>
      <c r="BJ74" s="170"/>
      <c r="BK74" s="102"/>
      <c r="BL74" s="198">
        <f t="shared" si="288"/>
        <v>731</v>
      </c>
      <c r="BM74" s="198">
        <f t="shared" si="289"/>
        <v>1096</v>
      </c>
      <c r="BN74" s="198"/>
      <c r="BO74" s="170"/>
      <c r="BP74" s="175"/>
      <c r="BQ74" s="102"/>
      <c r="BR74" s="103"/>
      <c r="BS74" s="103"/>
      <c r="BT74" s="103"/>
      <c r="BU74" s="168"/>
      <c r="BV74" s="266"/>
      <c r="BW74" s="266"/>
      <c r="BX74" s="167"/>
      <c r="BY74" s="266"/>
      <c r="BZ74" s="266"/>
      <c r="CA74" s="266"/>
      <c r="CB74" s="517"/>
      <c r="CC74" s="517"/>
      <c r="CD74" s="615"/>
      <c r="CE74" s="452">
        <v>43480</v>
      </c>
      <c r="CF74" s="445"/>
      <c r="CG74" s="600">
        <f t="shared" si="290"/>
        <v>1449.3333333333333</v>
      </c>
      <c r="CH74" s="260">
        <v>12</v>
      </c>
      <c r="CI74" s="260">
        <f t="shared" si="291"/>
        <v>13</v>
      </c>
      <c r="CJ74" s="255">
        <f t="shared" si="292"/>
        <v>13</v>
      </c>
      <c r="CK74" s="255">
        <f t="shared" si="293"/>
        <v>15</v>
      </c>
      <c r="CL74" s="255">
        <f t="shared" si="294"/>
        <v>1</v>
      </c>
      <c r="CM74" s="255">
        <f t="shared" si="295"/>
        <v>2</v>
      </c>
      <c r="CN74" s="261"/>
      <c r="CO74" s="261">
        <f t="shared" si="296"/>
        <v>0</v>
      </c>
      <c r="CP74" s="256"/>
      <c r="CQ74" s="797">
        <f t="shared" si="297"/>
        <v>43845</v>
      </c>
      <c r="CR74" s="454">
        <f>DATE(YEAR(CE74),MONTH(CE74)+CH74+1,DAY(CE74))</f>
        <v>43876</v>
      </c>
      <c r="CS74" s="752"/>
      <c r="CT74" s="256"/>
      <c r="CU74" s="883">
        <f t="shared" si="300"/>
        <v>0</v>
      </c>
      <c r="CV74" s="256"/>
      <c r="CW74" s="749">
        <f t="shared" si="350"/>
        <v>43905</v>
      </c>
      <c r="CX74" s="612">
        <f>DATE(YEAR(CW74),MONTH(CW74)+1,DAY(CW74))</f>
        <v>43936</v>
      </c>
      <c r="CY74" s="753"/>
      <c r="CZ74" s="122"/>
      <c r="DA74" s="125"/>
      <c r="DB74" s="125"/>
      <c r="DC74" s="125"/>
      <c r="DD74" s="125"/>
      <c r="DE74" s="125"/>
      <c r="DF74" s="56"/>
      <c r="DG74" s="296">
        <f t="shared" si="303"/>
        <v>44242</v>
      </c>
      <c r="DH74" s="56"/>
      <c r="DI74" s="56"/>
      <c r="DJ74" s="56"/>
      <c r="DK74" s="56"/>
      <c r="DL74" s="56"/>
      <c r="DM74" s="56"/>
      <c r="DN74" s="56"/>
      <c r="DO74" s="56"/>
      <c r="DP74" s="56"/>
      <c r="DQ74" s="56"/>
      <c r="DR74" s="56"/>
      <c r="DS74" s="56"/>
      <c r="DT74" s="710">
        <v>42927</v>
      </c>
      <c r="DU74" s="713"/>
      <c r="DV74" s="713"/>
      <c r="DW74" s="715" t="str">
        <f t="shared" si="304"/>
        <v>0</v>
      </c>
      <c r="DX74" s="713">
        <v>43067</v>
      </c>
      <c r="DY74" s="713">
        <f ca="1">IF(DX74&lt;TODAY(),TODAY(),DX74)</f>
        <v>43188</v>
      </c>
      <c r="DZ74" s="715">
        <f t="shared" ca="1" si="305"/>
        <v>121</v>
      </c>
      <c r="EA74" s="713">
        <v>43046</v>
      </c>
      <c r="EB74" s="713">
        <f ca="1">IF(EA74&lt;TODAY(),TODAY(),EA74)</f>
        <v>43188</v>
      </c>
      <c r="EC74" s="715">
        <f t="shared" ca="1" si="306"/>
        <v>142</v>
      </c>
      <c r="ED74" s="713">
        <v>43126</v>
      </c>
      <c r="EE74" s="713">
        <f t="shared" ca="1" si="351"/>
        <v>43188</v>
      </c>
      <c r="EF74" s="715">
        <f t="shared" ca="1" si="307"/>
        <v>62</v>
      </c>
      <c r="EG74" s="713">
        <v>43187</v>
      </c>
      <c r="EH74" s="713">
        <f t="shared" ca="1" si="352"/>
        <v>43188</v>
      </c>
      <c r="EI74" s="715">
        <f t="shared" ca="1" si="308"/>
        <v>1</v>
      </c>
      <c r="EJ74" s="718"/>
      <c r="EK74" s="695">
        <v>43630</v>
      </c>
      <c r="EL74" s="701">
        <f t="shared" ca="1" si="353"/>
        <v>43630</v>
      </c>
      <c r="EM74" s="697">
        <f t="shared" ca="1" si="309"/>
        <v>0</v>
      </c>
      <c r="EN74" s="695">
        <v>43647</v>
      </c>
      <c r="EO74" s="701">
        <f t="shared" ca="1" si="354"/>
        <v>43647</v>
      </c>
      <c r="EP74" s="697">
        <f t="shared" ca="1" si="311"/>
        <v>0</v>
      </c>
      <c r="EQ74" s="695"/>
      <c r="ER74" s="701">
        <f t="shared" ca="1" si="355"/>
        <v>43188</v>
      </c>
      <c r="ES74" s="697" t="str">
        <f t="shared" ca="1" si="313"/>
        <v>0</v>
      </c>
      <c r="ET74" s="695"/>
      <c r="EU74" s="722">
        <f t="shared" ca="1" si="356"/>
        <v>43188</v>
      </c>
      <c r="EV74" s="698" t="str">
        <f t="shared" ca="1" si="315"/>
        <v>0</v>
      </c>
      <c r="EW74" s="699"/>
      <c r="EX74" s="701">
        <f t="shared" ca="1" si="357"/>
        <v>43188</v>
      </c>
      <c r="EY74" s="697" t="str">
        <f t="shared" ca="1" si="317"/>
        <v>0</v>
      </c>
      <c r="EZ74" s="701"/>
      <c r="FA74" s="701">
        <f t="shared" ca="1" si="358"/>
        <v>43188</v>
      </c>
      <c r="FB74" s="697" t="str">
        <f t="shared" ca="1" si="319"/>
        <v>0</v>
      </c>
      <c r="FC74" s="701"/>
      <c r="FD74" s="701">
        <f t="shared" ca="1" si="359"/>
        <v>43188</v>
      </c>
      <c r="FE74" s="697" t="str">
        <f t="shared" ca="1" si="320"/>
        <v>0</v>
      </c>
      <c r="FF74" s="701"/>
      <c r="FG74" s="701">
        <f t="shared" ca="1" si="360"/>
        <v>43188</v>
      </c>
      <c r="FH74" s="697" t="str">
        <f t="shared" ca="1" si="321"/>
        <v>0</v>
      </c>
      <c r="FI74" s="701"/>
      <c r="FJ74" s="701">
        <f t="shared" ca="1" si="361"/>
        <v>43188</v>
      </c>
      <c r="FK74" s="697" t="str">
        <f t="shared" ca="1" si="322"/>
        <v>0</v>
      </c>
      <c r="FL74" s="701"/>
      <c r="FM74" s="701"/>
      <c r="FN74" s="701"/>
      <c r="FO74" s="701">
        <v>43811</v>
      </c>
      <c r="FP74" s="701">
        <f t="shared" si="323"/>
        <v>43876</v>
      </c>
      <c r="FQ74" s="699">
        <f t="shared" ca="1" si="348"/>
        <v>5.4666666666666668</v>
      </c>
      <c r="FR74" s="701">
        <v>44407</v>
      </c>
      <c r="FS74" s="701">
        <f t="shared" si="324"/>
        <v>43936</v>
      </c>
      <c r="FT74" s="727">
        <v>0</v>
      </c>
      <c r="FU74" s="727">
        <v>0</v>
      </c>
      <c r="FV74" s="727"/>
      <c r="FW74" s="727"/>
      <c r="FX74" s="728">
        <f t="shared" ca="1" si="325"/>
        <v>10.866666666666667</v>
      </c>
      <c r="FY74" s="728">
        <f t="shared" si="362"/>
        <v>-15.7</v>
      </c>
      <c r="FZ74" s="724"/>
      <c r="GA74" s="741"/>
      <c r="GB74" s="724" t="s">
        <v>863</v>
      </c>
      <c r="GC74" s="724"/>
      <c r="GD74" s="117"/>
      <c r="GE74" s="117"/>
      <c r="GF74" s="95">
        <f>+GP74+GU74+HB74+HV74+HG74+HF74</f>
        <v>842164</v>
      </c>
      <c r="GG74" s="95">
        <f t="shared" si="366"/>
        <v>212500</v>
      </c>
      <c r="GH74" s="95">
        <f t="shared" si="328"/>
        <v>-629664</v>
      </c>
      <c r="GI74" s="493"/>
      <c r="GJ74" s="493"/>
      <c r="GK74" s="95"/>
      <c r="GL74" s="95"/>
      <c r="GM74" s="95">
        <f t="shared" si="331"/>
        <v>0</v>
      </c>
      <c r="GN74" s="95">
        <f t="shared" si="332"/>
        <v>0</v>
      </c>
      <c r="GO74" s="326">
        <v>0.4</v>
      </c>
      <c r="GP74" s="95"/>
      <c r="GQ74" s="95"/>
      <c r="GR74" s="95"/>
      <c r="GS74" s="95">
        <f t="shared" si="333"/>
        <v>0</v>
      </c>
      <c r="GT74" s="95"/>
      <c r="GU74" s="791">
        <f>629664-HF74</f>
        <v>289664</v>
      </c>
      <c r="GV74" s="95">
        <f t="shared" si="343"/>
        <v>0</v>
      </c>
      <c r="GW74" s="95"/>
      <c r="GX74" s="95"/>
      <c r="GY74" s="95">
        <f t="shared" si="334"/>
        <v>-289664</v>
      </c>
      <c r="GZ74" s="892">
        <f>GU74/AH74</f>
        <v>8519.5294117647063</v>
      </c>
      <c r="HA74" s="95"/>
      <c r="HB74" s="95">
        <v>212500</v>
      </c>
      <c r="HC74" s="95">
        <f t="shared" si="363"/>
        <v>212500</v>
      </c>
      <c r="HD74" s="95"/>
      <c r="HE74" s="326">
        <f t="shared" si="345"/>
        <v>1</v>
      </c>
      <c r="HF74" s="95">
        <v>340000</v>
      </c>
      <c r="HG74" s="70"/>
      <c r="HH74" s="91">
        <f t="shared" si="336"/>
        <v>0</v>
      </c>
      <c r="HI74" s="22">
        <f t="shared" si="346"/>
        <v>6250</v>
      </c>
      <c r="HJ74" s="84">
        <f t="shared" si="115"/>
        <v>6250</v>
      </c>
      <c r="HK74" s="493">
        <f>HH74/AH74</f>
        <v>0</v>
      </c>
      <c r="HL74" s="497">
        <v>6.31</v>
      </c>
      <c r="HM74" s="497"/>
      <c r="HN74" s="493"/>
      <c r="HO74" s="493"/>
      <c r="HP74" s="493">
        <f>(GP74+HB74+HO74)/AH74</f>
        <v>6250</v>
      </c>
      <c r="HQ74" s="493"/>
      <c r="HR74" s="493">
        <f>(GQ74+HC74+HO74+HQ74)/AH74</f>
        <v>6250</v>
      </c>
      <c r="HS74" s="111">
        <f t="shared" si="364"/>
        <v>0.25232615025102001</v>
      </c>
      <c r="HT74" s="493"/>
      <c r="HU74" s="493"/>
      <c r="HV74" s="493"/>
      <c r="HW74" s="498">
        <f t="shared" si="365"/>
        <v>842164</v>
      </c>
      <c r="HX74" s="293"/>
      <c r="HY74" s="293">
        <f t="shared" si="344"/>
        <v>0</v>
      </c>
      <c r="HZ74" s="294"/>
      <c r="IA74" s="297">
        <v>0</v>
      </c>
      <c r="IB74" s="297"/>
      <c r="IC74" s="269"/>
      <c r="ID74" s="269"/>
      <c r="IE74" s="491">
        <v>0</v>
      </c>
      <c r="IF74" s="278"/>
      <c r="IG74" s="290">
        <v>0</v>
      </c>
      <c r="IH74" s="278"/>
      <c r="II74" s="625"/>
      <c r="IJ74" s="295"/>
      <c r="IK74" s="300"/>
      <c r="IL74" s="298"/>
      <c r="IM74" s="298"/>
      <c r="IN74" s="292"/>
      <c r="IO74" s="297"/>
      <c r="IP74" s="292"/>
      <c r="IQ74" s="297"/>
      <c r="IR74" s="323"/>
      <c r="IS74" s="323"/>
      <c r="IT74" s="323"/>
      <c r="IU74" s="323"/>
      <c r="IV74" s="286"/>
      <c r="IW74" s="286"/>
      <c r="IX74" s="286"/>
      <c r="IY74" s="286"/>
      <c r="IZ74" s="286"/>
      <c r="JA74" s="286"/>
      <c r="JB74" s="297" t="e">
        <f>$JB$1*HX74</f>
        <v>#VALUE!</v>
      </c>
      <c r="JC74" s="122"/>
      <c r="JD74" s="295"/>
      <c r="JE74" s="122"/>
      <c r="JF74" s="122"/>
      <c r="JG74" s="295"/>
    </row>
    <row r="75" spans="1:267" ht="24.95" customHeight="1">
      <c r="A75" s="901" t="s">
        <v>253</v>
      </c>
      <c r="B75" s="57" t="s">
        <v>34</v>
      </c>
      <c r="C75" s="57" t="s">
        <v>114</v>
      </c>
      <c r="D75" s="57">
        <v>2017</v>
      </c>
      <c r="E75" s="57" t="s">
        <v>164</v>
      </c>
      <c r="F75" s="57" t="s">
        <v>564</v>
      </c>
      <c r="G75" s="56" t="s">
        <v>185</v>
      </c>
      <c r="H75" s="57" t="s">
        <v>180</v>
      </c>
      <c r="I75" s="57" t="s">
        <v>121</v>
      </c>
      <c r="J75" s="57" t="s">
        <v>415</v>
      </c>
      <c r="K75" s="216" t="s">
        <v>731</v>
      </c>
      <c r="L75" s="176" t="s">
        <v>65</v>
      </c>
      <c r="M75" s="177" t="s">
        <v>145</v>
      </c>
      <c r="N75" s="178"/>
      <c r="O75" s="222">
        <v>4113</v>
      </c>
      <c r="P75" s="222">
        <v>205650</v>
      </c>
      <c r="Q75" s="222">
        <v>189641</v>
      </c>
      <c r="R75" s="217">
        <f>P75/AD75</f>
        <v>10823.684210526315</v>
      </c>
      <c r="S75" s="222">
        <f>P75/O75</f>
        <v>50</v>
      </c>
      <c r="T75" s="223">
        <f t="shared" ref="T75:T84" si="367">Q75/O75</f>
        <v>46.107707269632868</v>
      </c>
      <c r="U75" s="223">
        <f t="shared" ref="U75:U84" si="368">Q75/AJ75</f>
        <v>114.25189023104498</v>
      </c>
      <c r="V75" s="223">
        <f t="shared" ref="V75:V84" si="369">Q75/AD75</f>
        <v>9981.105263157895</v>
      </c>
      <c r="W75" s="217">
        <f t="shared" ref="W75:W84" si="370">O75/AD75</f>
        <v>216.47368421052633</v>
      </c>
      <c r="X75" s="224"/>
      <c r="Y75" s="225">
        <f>AJ75/O75</f>
        <v>0.40356187697544371</v>
      </c>
      <c r="Z75" s="224" t="s">
        <v>210</v>
      </c>
      <c r="AA75" s="230"/>
      <c r="AB75" s="226"/>
      <c r="AC75" s="57" t="s">
        <v>16</v>
      </c>
      <c r="AD75" s="342">
        <f t="shared" si="286"/>
        <v>19</v>
      </c>
      <c r="AE75" s="274"/>
      <c r="AF75" s="57">
        <v>19</v>
      </c>
      <c r="AG75" s="57"/>
      <c r="AH75" s="57"/>
      <c r="AI75" s="61">
        <v>1680.48</v>
      </c>
      <c r="AJ75" s="94">
        <v>1659.85</v>
      </c>
      <c r="AK75" s="60">
        <f>AJ75/AD75</f>
        <v>87.360526315789471</v>
      </c>
      <c r="AL75" s="63"/>
      <c r="AM75" s="63"/>
      <c r="AN75" s="82">
        <f>3/AD75</f>
        <v>0.15789473684210525</v>
      </c>
      <c r="AO75" s="82">
        <f>12/AF75</f>
        <v>0.63157894736842102</v>
      </c>
      <c r="AP75" s="82">
        <f>4/AF75</f>
        <v>0.21052631578947367</v>
      </c>
      <c r="AQ75" s="61"/>
      <c r="AR75" s="80"/>
      <c r="AS75" s="82">
        <f>AR75/O75</f>
        <v>0</v>
      </c>
      <c r="AT75" s="61">
        <v>1.5</v>
      </c>
      <c r="AU75" s="59" t="s">
        <v>626</v>
      </c>
      <c r="AV75" s="57"/>
      <c r="AW75" s="310" t="s">
        <v>576</v>
      </c>
      <c r="AX75" s="250">
        <v>42475</v>
      </c>
      <c r="AY75" s="114" t="s">
        <v>256</v>
      </c>
      <c r="AZ75" s="114" t="s">
        <v>293</v>
      </c>
      <c r="BA75" s="99"/>
      <c r="BB75" s="214">
        <v>43014</v>
      </c>
      <c r="BC75" s="101">
        <v>43045</v>
      </c>
      <c r="BD75" s="101"/>
      <c r="BE75" s="214"/>
      <c r="BF75" s="101"/>
      <c r="BG75" s="170"/>
      <c r="BH75" s="213"/>
      <c r="BI75" s="170"/>
      <c r="BJ75" s="170"/>
      <c r="BK75" s="102"/>
      <c r="BL75" s="198">
        <f t="shared" si="288"/>
        <v>731</v>
      </c>
      <c r="BM75" s="198">
        <f t="shared" si="289"/>
        <v>1096</v>
      </c>
      <c r="BN75" s="198"/>
      <c r="BO75" s="170"/>
      <c r="BP75" s="175"/>
      <c r="BQ75" s="102"/>
      <c r="BR75" s="103"/>
      <c r="BS75" s="103"/>
      <c r="BT75" s="103"/>
      <c r="BU75" s="168" t="s">
        <v>145</v>
      </c>
      <c r="BV75" s="266" t="s">
        <v>268</v>
      </c>
      <c r="BW75" s="266"/>
      <c r="BX75" s="167"/>
      <c r="BY75" s="266" t="e">
        <f>DATE(YEAR(BV75),MONTH(BV75)+18,DAY(BV75))</f>
        <v>#VALUE!</v>
      </c>
      <c r="BZ75" s="266"/>
      <c r="CA75" s="266"/>
      <c r="CB75" s="266" t="s">
        <v>172</v>
      </c>
      <c r="CC75" s="781"/>
      <c r="CD75" s="615"/>
      <c r="CE75" s="452">
        <v>43361</v>
      </c>
      <c r="CF75" s="445"/>
      <c r="CG75" s="600">
        <f t="shared" si="290"/>
        <v>11.566666666666666</v>
      </c>
      <c r="CH75" s="260">
        <v>18</v>
      </c>
      <c r="CI75" s="260">
        <f t="shared" si="291"/>
        <v>19</v>
      </c>
      <c r="CJ75" s="255">
        <f t="shared" si="292"/>
        <v>18</v>
      </c>
      <c r="CK75" s="255">
        <f t="shared" si="293"/>
        <v>19</v>
      </c>
      <c r="CL75" s="255">
        <f t="shared" si="294"/>
        <v>0</v>
      </c>
      <c r="CM75" s="255">
        <f t="shared" si="295"/>
        <v>0</v>
      </c>
      <c r="CN75" s="261"/>
      <c r="CO75" s="261">
        <f t="shared" si="296"/>
        <v>0</v>
      </c>
      <c r="CP75" s="256"/>
      <c r="CQ75" s="797">
        <f t="shared" si="297"/>
        <v>43908</v>
      </c>
      <c r="CR75" s="513">
        <f t="shared" ref="CR75:CR84" si="371">DATE(YEAR(CE75),MONTH(CE75)+CH75,DAY(CE75))</f>
        <v>43908</v>
      </c>
      <c r="CS75" s="626">
        <f t="shared" ref="CS75:CS84" si="372">DATE(YEAR(CA75)+2,MONTH(CA75),DAY(CA75))</f>
        <v>731</v>
      </c>
      <c r="CT75" s="196"/>
      <c r="CU75" s="882" t="e">
        <f t="shared" si="300"/>
        <v>#NUM!</v>
      </c>
      <c r="CV75" s="122"/>
      <c r="CW75" s="749">
        <f t="shared" si="350"/>
        <v>43939</v>
      </c>
      <c r="CX75" s="513">
        <f t="shared" ref="CX75:CX84" si="373">CW75</f>
        <v>43939</v>
      </c>
      <c r="CY75" s="746"/>
      <c r="CZ75" s="122"/>
      <c r="DA75" s="127"/>
      <c r="DB75" s="127"/>
      <c r="DC75" s="127"/>
      <c r="DD75" s="127"/>
      <c r="DE75" s="127"/>
      <c r="DF75" s="57"/>
      <c r="DG75" s="296">
        <f t="shared" si="303"/>
        <v>44273</v>
      </c>
      <c r="DH75" s="57"/>
      <c r="DI75" s="57"/>
      <c r="DJ75" s="57"/>
      <c r="DK75" s="57"/>
      <c r="DL75" s="57"/>
      <c r="DM75" s="57"/>
      <c r="DN75" s="57"/>
      <c r="DO75" s="57"/>
      <c r="DP75" s="57"/>
      <c r="DQ75" s="57"/>
      <c r="DR75" s="57"/>
      <c r="DS75" s="57"/>
      <c r="DT75" s="340">
        <v>41576</v>
      </c>
      <c r="DU75" s="126">
        <v>41593</v>
      </c>
      <c r="DV75" s="126">
        <v>41576</v>
      </c>
      <c r="DW75" s="691">
        <f t="shared" si="304"/>
        <v>-17</v>
      </c>
      <c r="DX75" s="126">
        <v>42055</v>
      </c>
      <c r="DY75" s="126">
        <v>42041</v>
      </c>
      <c r="DZ75" s="691">
        <f t="shared" si="305"/>
        <v>-14</v>
      </c>
      <c r="EA75" s="340">
        <v>42090</v>
      </c>
      <c r="EB75" s="340">
        <v>42254</v>
      </c>
      <c r="EC75" s="691">
        <f t="shared" si="306"/>
        <v>164</v>
      </c>
      <c r="ED75" s="713">
        <v>43140</v>
      </c>
      <c r="EE75" s="710">
        <f t="shared" ca="1" si="351"/>
        <v>43188</v>
      </c>
      <c r="EF75" s="715">
        <f t="shared" ca="1" si="307"/>
        <v>48</v>
      </c>
      <c r="EG75" s="713">
        <v>43129</v>
      </c>
      <c r="EH75" s="713">
        <f t="shared" ca="1" si="352"/>
        <v>43188</v>
      </c>
      <c r="EI75" s="715">
        <f t="shared" ca="1" si="308"/>
        <v>59</v>
      </c>
      <c r="EJ75" s="714"/>
      <c r="EK75" s="706">
        <v>43346</v>
      </c>
      <c r="EL75" s="701">
        <f t="shared" ca="1" si="353"/>
        <v>43346</v>
      </c>
      <c r="EM75" s="697">
        <f t="shared" ca="1" si="309"/>
        <v>0</v>
      </c>
      <c r="EN75" s="706">
        <v>43361</v>
      </c>
      <c r="EO75" s="701">
        <f t="shared" ca="1" si="354"/>
        <v>43361</v>
      </c>
      <c r="EP75" s="697">
        <f t="shared" ca="1" si="311"/>
        <v>0</v>
      </c>
      <c r="EQ75" s="695"/>
      <c r="ER75" s="701">
        <f t="shared" ca="1" si="355"/>
        <v>43188</v>
      </c>
      <c r="ES75" s="697" t="str">
        <f t="shared" ca="1" si="313"/>
        <v>0</v>
      </c>
      <c r="ET75" s="695"/>
      <c r="EU75" s="722">
        <f t="shared" ca="1" si="356"/>
        <v>43188</v>
      </c>
      <c r="EV75" s="698" t="str">
        <f t="shared" ca="1" si="315"/>
        <v>0</v>
      </c>
      <c r="EW75" s="701"/>
      <c r="EX75" s="701">
        <f t="shared" ca="1" si="357"/>
        <v>43188</v>
      </c>
      <c r="EY75" s="697" t="str">
        <f t="shared" ca="1" si="317"/>
        <v>0</v>
      </c>
      <c r="EZ75" s="695"/>
      <c r="FA75" s="701">
        <f t="shared" ca="1" si="358"/>
        <v>43188</v>
      </c>
      <c r="FB75" s="697" t="str">
        <f t="shared" ca="1" si="319"/>
        <v>0</v>
      </c>
      <c r="FC75" s="701"/>
      <c r="FD75" s="701">
        <f t="shared" ca="1" si="359"/>
        <v>43188</v>
      </c>
      <c r="FE75" s="697" t="str">
        <f t="shared" ca="1" si="320"/>
        <v>0</v>
      </c>
      <c r="FF75" s="701"/>
      <c r="FG75" s="701">
        <f t="shared" ca="1" si="360"/>
        <v>43188</v>
      </c>
      <c r="FH75" s="697" t="str">
        <f t="shared" ca="1" si="321"/>
        <v>0</v>
      </c>
      <c r="FI75" s="701"/>
      <c r="FJ75" s="701">
        <f t="shared" ca="1" si="361"/>
        <v>43188</v>
      </c>
      <c r="FK75" s="697" t="str">
        <f t="shared" ca="1" si="322"/>
        <v>0</v>
      </c>
      <c r="FL75" s="701"/>
      <c r="FM75" s="701"/>
      <c r="FN75" s="701"/>
      <c r="FO75" s="701">
        <v>43901</v>
      </c>
      <c r="FP75" s="701">
        <f t="shared" si="323"/>
        <v>43908</v>
      </c>
      <c r="FQ75" s="699">
        <f t="shared" ca="1" si="348"/>
        <v>18</v>
      </c>
      <c r="FR75" s="701">
        <v>43931</v>
      </c>
      <c r="FS75" s="701">
        <f t="shared" si="324"/>
        <v>43939</v>
      </c>
      <c r="FT75" s="727">
        <v>190000</v>
      </c>
      <c r="FU75" s="727">
        <v>190000</v>
      </c>
      <c r="FV75" s="727"/>
      <c r="FW75" s="727"/>
      <c r="FX75" s="728">
        <f t="shared" ca="1" si="325"/>
        <v>8</v>
      </c>
      <c r="FY75" s="728">
        <f t="shared" si="362"/>
        <v>0.26666666666666666</v>
      </c>
      <c r="FZ75" s="724"/>
      <c r="GA75" s="741"/>
      <c r="GB75" s="741"/>
      <c r="GC75" s="724"/>
      <c r="GD75" s="117"/>
      <c r="GE75" s="117"/>
      <c r="GF75" s="95">
        <f t="shared" ref="GF75:GF103" si="374">+GP75+GU75+HB75+HV75+HG75</f>
        <v>3724917</v>
      </c>
      <c r="GG75" s="70">
        <f t="shared" si="366"/>
        <v>3724917.85</v>
      </c>
      <c r="GH75" s="95">
        <f t="shared" si="328"/>
        <v>0.85000000009313226</v>
      </c>
      <c r="GI75" s="52">
        <f t="shared" ref="GI75:GI94" si="375">GG75/AI75</f>
        <v>2216.5796974673904</v>
      </c>
      <c r="GJ75" s="52">
        <f t="shared" ref="GJ75:GJ94" si="376">GG75/AD75</f>
        <v>196048.30789473685</v>
      </c>
      <c r="GK75" s="95">
        <v>3147257.0568200001</v>
      </c>
      <c r="GL75" s="95">
        <f>GK75</f>
        <v>3147257.0568200001</v>
      </c>
      <c r="GM75" s="95">
        <f t="shared" si="331"/>
        <v>0</v>
      </c>
      <c r="GN75" s="95">
        <f t="shared" si="332"/>
        <v>0.86266317390414926</v>
      </c>
      <c r="GO75" s="326">
        <v>0.39750000000000002</v>
      </c>
      <c r="GP75" s="95">
        <v>1080509</v>
      </c>
      <c r="GQ75" s="70">
        <v>1134685.53</v>
      </c>
      <c r="GR75" s="925"/>
      <c r="GS75" s="95">
        <f t="shared" si="333"/>
        <v>59720.291052631583</v>
      </c>
      <c r="GT75" s="95">
        <f>GQ75-GP75</f>
        <v>54176.530000000028</v>
      </c>
      <c r="GU75" s="515">
        <v>1954408</v>
      </c>
      <c r="GV75" s="70">
        <f t="shared" si="343"/>
        <v>1900232.32</v>
      </c>
      <c r="GW75" s="89">
        <v>421720.5</v>
      </c>
      <c r="GX75" s="89">
        <v>1478511.82</v>
      </c>
      <c r="GY75" s="95">
        <f t="shared" si="334"/>
        <v>-54175.679999999935</v>
      </c>
      <c r="GZ75" s="892">
        <f t="shared" ref="GZ75:GZ104" si="377">GV75/AD75</f>
        <v>100012.22736842105</v>
      </c>
      <c r="HA75" s="493"/>
      <c r="HB75" s="95">
        <v>500000</v>
      </c>
      <c r="HC75" s="70">
        <f t="shared" si="363"/>
        <v>500000</v>
      </c>
      <c r="HD75" s="95"/>
      <c r="HE75" s="326">
        <f t="shared" si="345"/>
        <v>0.13423114821176527</v>
      </c>
      <c r="HF75" s="493"/>
      <c r="HG75" s="70">
        <v>0</v>
      </c>
      <c r="HH75" s="91">
        <f t="shared" si="336"/>
        <v>0</v>
      </c>
      <c r="HI75" s="22">
        <f t="shared" si="346"/>
        <v>26315.78947368421</v>
      </c>
      <c r="HJ75" s="84">
        <f t="shared" si="115"/>
        <v>86036.080526315796</v>
      </c>
      <c r="HK75" s="91">
        <f>HH75/AD75</f>
        <v>0</v>
      </c>
      <c r="HL75" s="276">
        <v>5.14</v>
      </c>
      <c r="HM75" s="276">
        <v>5.12</v>
      </c>
      <c r="HN75" s="93">
        <v>837039.04799999995</v>
      </c>
      <c r="HO75" s="93">
        <v>380000</v>
      </c>
      <c r="HP75" s="52">
        <f>(GP75+HB75+HO75)/AD75</f>
        <v>103184.68421052632</v>
      </c>
      <c r="HQ75" s="93">
        <v>237556.40000000002</v>
      </c>
      <c r="HR75" s="52">
        <f>(GQ75+HC75+HO75+HQ75)/AD75</f>
        <v>118539.04894736843</v>
      </c>
      <c r="HS75" s="53">
        <f t="shared" si="364"/>
        <v>0.50071226129380131</v>
      </c>
      <c r="HT75" s="93">
        <v>172078.72739999997</v>
      </c>
      <c r="HU75" s="93"/>
      <c r="HV75" s="70">
        <v>190000</v>
      </c>
      <c r="HW75" s="42">
        <f t="shared" si="365"/>
        <v>4561956.0480000004</v>
      </c>
      <c r="HX75" s="293">
        <v>184741</v>
      </c>
      <c r="HY75" s="293">
        <f t="shared" si="344"/>
        <v>66507</v>
      </c>
      <c r="HZ75" s="118">
        <v>41677</v>
      </c>
      <c r="IA75" s="243">
        <v>15217</v>
      </c>
      <c r="IB75" s="243"/>
      <c r="IC75" s="118"/>
      <c r="ID75" s="118">
        <v>42247</v>
      </c>
      <c r="IE75" s="243">
        <v>7608</v>
      </c>
      <c r="IF75" s="118"/>
      <c r="IG75" s="243">
        <v>15217</v>
      </c>
      <c r="IH75" s="118">
        <v>43082</v>
      </c>
      <c r="II75" s="243">
        <v>28465</v>
      </c>
      <c r="IJ75" s="119"/>
      <c r="IK75" s="403"/>
      <c r="IL75" s="338"/>
      <c r="IM75" s="338"/>
      <c r="IN75" s="292"/>
      <c r="IO75" s="297"/>
      <c r="IP75" s="292"/>
      <c r="IQ75" s="297"/>
      <c r="IR75" s="323"/>
      <c r="IS75" s="323"/>
      <c r="IT75" s="323"/>
      <c r="IU75" s="323"/>
      <c r="IV75" s="286"/>
      <c r="IW75" s="286"/>
      <c r="IX75" s="286"/>
      <c r="IY75" s="286"/>
      <c r="IZ75" s="286"/>
      <c r="JA75" s="286"/>
      <c r="JB75" s="243">
        <v>15217</v>
      </c>
      <c r="JC75" s="122"/>
      <c r="JD75" s="295"/>
      <c r="JE75" s="122"/>
      <c r="JF75" s="122"/>
      <c r="JG75" s="295"/>
    </row>
    <row r="76" spans="1:267" ht="24.95" customHeight="1">
      <c r="A76" s="930" t="s">
        <v>477</v>
      </c>
      <c r="B76" s="56" t="s">
        <v>34</v>
      </c>
      <c r="C76" s="56" t="s">
        <v>114</v>
      </c>
      <c r="D76" s="56">
        <v>2018</v>
      </c>
      <c r="E76" s="56" t="s">
        <v>667</v>
      </c>
      <c r="F76" s="56" t="s">
        <v>419</v>
      </c>
      <c r="G76" s="56" t="s">
        <v>185</v>
      </c>
      <c r="H76" s="58" t="s">
        <v>178</v>
      </c>
      <c r="I76" s="56"/>
      <c r="J76" s="56" t="s">
        <v>479</v>
      </c>
      <c r="K76" s="272" t="s">
        <v>713</v>
      </c>
      <c r="L76" s="176"/>
      <c r="M76" s="177"/>
      <c r="N76" s="178"/>
      <c r="O76" s="217"/>
      <c r="P76" s="217">
        <v>247943</v>
      </c>
      <c r="Q76" s="217"/>
      <c r="R76" s="217">
        <f>P76/AD76</f>
        <v>11270.136363636364</v>
      </c>
      <c r="S76" s="217" t="e">
        <f t="shared" ref="S76:S84" si="378">P76/O76</f>
        <v>#DIV/0!</v>
      </c>
      <c r="T76" s="223" t="e">
        <f t="shared" si="367"/>
        <v>#DIV/0!</v>
      </c>
      <c r="U76" s="223">
        <f t="shared" si="368"/>
        <v>0</v>
      </c>
      <c r="V76" s="223">
        <f t="shared" si="369"/>
        <v>0</v>
      </c>
      <c r="W76" s="217">
        <f t="shared" si="370"/>
        <v>0</v>
      </c>
      <c r="X76" s="218"/>
      <c r="Y76" s="226" t="e">
        <f t="shared" ref="Y76:Y77" si="379">AJ76/O76</f>
        <v>#DIV/0!</v>
      </c>
      <c r="Z76" s="218"/>
      <c r="AA76" s="218"/>
      <c r="AB76" s="219"/>
      <c r="AC76" s="56" t="s">
        <v>15</v>
      </c>
      <c r="AD76" s="342">
        <f t="shared" si="286"/>
        <v>22</v>
      </c>
      <c r="AE76" s="56">
        <v>22</v>
      </c>
      <c r="AF76" s="67"/>
      <c r="AG76" s="67"/>
      <c r="AH76" s="67"/>
      <c r="AI76" s="60">
        <v>2090.21</v>
      </c>
      <c r="AJ76" s="94">
        <v>2090.21</v>
      </c>
      <c r="AK76" s="60">
        <f>AJ76/AD76</f>
        <v>95.00954545454546</v>
      </c>
      <c r="AL76" s="933"/>
      <c r="AM76" s="933"/>
      <c r="AN76" s="933"/>
      <c r="AO76" s="81">
        <f>12/AD76</f>
        <v>0.54545454545454541</v>
      </c>
      <c r="AP76" s="81">
        <f>10/AD76</f>
        <v>0.45454545454545453</v>
      </c>
      <c r="AQ76" s="60"/>
      <c r="AR76" s="79"/>
      <c r="AS76" s="81"/>
      <c r="AT76" s="60"/>
      <c r="AU76" s="59" t="s">
        <v>626</v>
      </c>
      <c r="AV76" s="56"/>
      <c r="AW76" s="251" t="s">
        <v>630</v>
      </c>
      <c r="AX76" s="194"/>
      <c r="AY76" s="114"/>
      <c r="AZ76" s="114"/>
      <c r="BA76" s="99"/>
      <c r="BB76" s="214"/>
      <c r="BC76" s="101"/>
      <c r="BD76" s="101"/>
      <c r="BE76" s="214"/>
      <c r="BF76" s="101"/>
      <c r="BG76" s="170"/>
      <c r="BH76" s="213"/>
      <c r="BI76" s="170"/>
      <c r="BJ76" s="170"/>
      <c r="BK76" s="102"/>
      <c r="BL76" s="198">
        <f t="shared" si="288"/>
        <v>731</v>
      </c>
      <c r="BM76" s="198">
        <f t="shared" si="289"/>
        <v>1096</v>
      </c>
      <c r="BN76" s="198"/>
      <c r="BO76" s="170"/>
      <c r="BP76" s="175"/>
      <c r="BQ76" s="102"/>
      <c r="BR76" s="103"/>
      <c r="BS76" s="103"/>
      <c r="BT76" s="103"/>
      <c r="BU76" s="168"/>
      <c r="BV76" s="266"/>
      <c r="BW76" s="266"/>
      <c r="BX76" s="167"/>
      <c r="BY76" s="266"/>
      <c r="BZ76" s="266"/>
      <c r="CA76" s="266"/>
      <c r="CB76" s="266" t="s">
        <v>172</v>
      </c>
      <c r="CC76" s="781"/>
      <c r="CD76" s="615"/>
      <c r="CE76" s="452">
        <v>43455</v>
      </c>
      <c r="CF76" s="445"/>
      <c r="CG76" s="600">
        <f t="shared" si="290"/>
        <v>1448.5</v>
      </c>
      <c r="CH76" s="260">
        <v>16</v>
      </c>
      <c r="CI76" s="260">
        <f t="shared" si="291"/>
        <v>17</v>
      </c>
      <c r="CJ76" s="255">
        <f t="shared" si="292"/>
        <v>16</v>
      </c>
      <c r="CK76" s="255">
        <f t="shared" si="293"/>
        <v>17</v>
      </c>
      <c r="CL76" s="255">
        <f t="shared" si="294"/>
        <v>0</v>
      </c>
      <c r="CM76" s="255">
        <f t="shared" si="295"/>
        <v>0</v>
      </c>
      <c r="CN76" s="261"/>
      <c r="CO76" s="261">
        <f t="shared" si="296"/>
        <v>0</v>
      </c>
      <c r="CP76" s="256"/>
      <c r="CQ76" s="797">
        <f t="shared" si="297"/>
        <v>43942</v>
      </c>
      <c r="CR76" s="454">
        <f t="shared" si="371"/>
        <v>43942</v>
      </c>
      <c r="CS76" s="752">
        <f t="shared" si="372"/>
        <v>731</v>
      </c>
      <c r="CT76" s="256"/>
      <c r="CU76" s="883">
        <f t="shared" si="300"/>
        <v>0</v>
      </c>
      <c r="CV76" s="256"/>
      <c r="CW76" s="749">
        <f t="shared" si="350"/>
        <v>43972</v>
      </c>
      <c r="CX76" s="612">
        <f t="shared" si="373"/>
        <v>43972</v>
      </c>
      <c r="CY76" s="753"/>
      <c r="CZ76" s="122"/>
      <c r="DA76" s="125"/>
      <c r="DB76" s="125"/>
      <c r="DC76" s="125"/>
      <c r="DD76" s="125"/>
      <c r="DE76" s="125"/>
      <c r="DF76" s="56"/>
      <c r="DG76" s="296">
        <f t="shared" si="303"/>
        <v>44307</v>
      </c>
      <c r="DH76" s="56"/>
      <c r="DI76" s="56"/>
      <c r="DJ76" s="56"/>
      <c r="DK76" s="56"/>
      <c r="DL76" s="56"/>
      <c r="DM76" s="56"/>
      <c r="DN76" s="56"/>
      <c r="DO76" s="56"/>
      <c r="DP76" s="56"/>
      <c r="DQ76" s="56"/>
      <c r="DR76" s="56"/>
      <c r="DS76" s="56"/>
      <c r="DT76" s="710">
        <v>42619</v>
      </c>
      <c r="DU76" s="713">
        <v>42619</v>
      </c>
      <c r="DV76" s="713">
        <v>42619</v>
      </c>
      <c r="DW76" s="715">
        <f t="shared" si="304"/>
        <v>0</v>
      </c>
      <c r="DX76" s="713">
        <v>43119</v>
      </c>
      <c r="DY76" s="713">
        <f ca="1">IF(DX76&lt;TODAY(),TODAY(),DX76)</f>
        <v>43188</v>
      </c>
      <c r="DZ76" s="715">
        <f t="shared" ca="1" si="305"/>
        <v>69</v>
      </c>
      <c r="EA76" s="713">
        <v>42772</v>
      </c>
      <c r="EB76" s="713">
        <v>42849</v>
      </c>
      <c r="EC76" s="715">
        <f t="shared" si="306"/>
        <v>77</v>
      </c>
      <c r="ED76" s="713">
        <v>43053</v>
      </c>
      <c r="EE76" s="713">
        <f t="shared" ca="1" si="351"/>
        <v>43188</v>
      </c>
      <c r="EF76" s="715">
        <f t="shared" ca="1" si="307"/>
        <v>135</v>
      </c>
      <c r="EG76" s="713">
        <v>43151</v>
      </c>
      <c r="EH76" s="713">
        <f t="shared" ca="1" si="352"/>
        <v>43188</v>
      </c>
      <c r="EI76" s="715">
        <f t="shared" ca="1" si="308"/>
        <v>37</v>
      </c>
      <c r="EJ76" s="718"/>
      <c r="EK76" s="695">
        <v>43441</v>
      </c>
      <c r="EL76" s="701">
        <f t="shared" ca="1" si="353"/>
        <v>43441</v>
      </c>
      <c r="EM76" s="697">
        <f t="shared" ca="1" si="309"/>
        <v>0</v>
      </c>
      <c r="EN76" s="695">
        <v>43455</v>
      </c>
      <c r="EO76" s="701">
        <f t="shared" ca="1" si="354"/>
        <v>43455</v>
      </c>
      <c r="EP76" s="697">
        <f t="shared" ca="1" si="311"/>
        <v>0</v>
      </c>
      <c r="EQ76" s="695"/>
      <c r="ER76" s="701">
        <f t="shared" ca="1" si="355"/>
        <v>43188</v>
      </c>
      <c r="ES76" s="697" t="str">
        <f t="shared" ca="1" si="313"/>
        <v>0</v>
      </c>
      <c r="ET76" s="695"/>
      <c r="EU76" s="722">
        <f t="shared" ca="1" si="356"/>
        <v>43188</v>
      </c>
      <c r="EV76" s="698" t="str">
        <f t="shared" ca="1" si="315"/>
        <v>0</v>
      </c>
      <c r="EW76" s="699"/>
      <c r="EX76" s="701">
        <f t="shared" ca="1" si="357"/>
        <v>43188</v>
      </c>
      <c r="EY76" s="697" t="str">
        <f t="shared" ca="1" si="317"/>
        <v>0</v>
      </c>
      <c r="EZ76" s="702"/>
      <c r="FA76" s="701">
        <f t="shared" ca="1" si="358"/>
        <v>43188</v>
      </c>
      <c r="FB76" s="697" t="str">
        <f t="shared" ca="1" si="319"/>
        <v>0</v>
      </c>
      <c r="FC76" s="703"/>
      <c r="FD76" s="701">
        <f t="shared" ca="1" si="359"/>
        <v>43188</v>
      </c>
      <c r="FE76" s="697" t="str">
        <f t="shared" ca="1" si="320"/>
        <v>0</v>
      </c>
      <c r="FF76" s="703"/>
      <c r="FG76" s="701">
        <f t="shared" ca="1" si="360"/>
        <v>43188</v>
      </c>
      <c r="FH76" s="697" t="str">
        <f t="shared" ca="1" si="321"/>
        <v>0</v>
      </c>
      <c r="FI76" s="701"/>
      <c r="FJ76" s="701">
        <f t="shared" ca="1" si="361"/>
        <v>43188</v>
      </c>
      <c r="FK76" s="697" t="str">
        <f t="shared" ca="1" si="322"/>
        <v>0</v>
      </c>
      <c r="FL76" s="703"/>
      <c r="FM76" s="703"/>
      <c r="FN76" s="703"/>
      <c r="FO76" s="701">
        <v>43994</v>
      </c>
      <c r="FP76" s="701">
        <f t="shared" si="323"/>
        <v>43942</v>
      </c>
      <c r="FQ76" s="699">
        <f t="shared" ca="1" si="348"/>
        <v>17.966666666666665</v>
      </c>
      <c r="FR76" s="701">
        <v>44026</v>
      </c>
      <c r="FS76" s="701">
        <f t="shared" si="324"/>
        <v>43972</v>
      </c>
      <c r="FT76" s="727">
        <v>0</v>
      </c>
      <c r="FU76" s="727">
        <v>0</v>
      </c>
      <c r="FV76" s="727"/>
      <c r="FW76" s="727"/>
      <c r="FX76" s="728">
        <f t="shared" ca="1" si="325"/>
        <v>10.6</v>
      </c>
      <c r="FY76" s="728">
        <f t="shared" si="362"/>
        <v>-1.8</v>
      </c>
      <c r="FZ76" s="724"/>
      <c r="GA76" s="741"/>
      <c r="GB76" s="741" t="s">
        <v>865</v>
      </c>
      <c r="GC76" s="724"/>
      <c r="GD76" s="117"/>
      <c r="GE76" s="117"/>
      <c r="GF76" s="95">
        <f t="shared" si="374"/>
        <v>4056688</v>
      </c>
      <c r="GG76" s="70">
        <f t="shared" si="366"/>
        <v>4056688</v>
      </c>
      <c r="GH76" s="96">
        <f t="shared" si="328"/>
        <v>0</v>
      </c>
      <c r="GI76" s="52">
        <f t="shared" si="375"/>
        <v>1940.8040340444261</v>
      </c>
      <c r="GJ76" s="52">
        <f t="shared" si="376"/>
        <v>184394.90909090909</v>
      </c>
      <c r="GK76" s="95"/>
      <c r="GL76" s="70"/>
      <c r="GM76" s="96">
        <f t="shared" si="331"/>
        <v>0</v>
      </c>
      <c r="GN76" s="136">
        <f t="shared" si="332"/>
        <v>0</v>
      </c>
      <c r="GO76" s="137">
        <v>0.4</v>
      </c>
      <c r="GP76" s="95">
        <v>1260329</v>
      </c>
      <c r="GQ76" s="70">
        <v>1260329</v>
      </c>
      <c r="GR76" s="70"/>
      <c r="GS76" s="52">
        <f t="shared" si="333"/>
        <v>57287.681818181816</v>
      </c>
      <c r="GT76" s="97"/>
      <c r="GU76" s="95">
        <v>2356728</v>
      </c>
      <c r="GV76" s="70">
        <f t="shared" si="343"/>
        <v>2356728</v>
      </c>
      <c r="GW76" s="89">
        <v>438150</v>
      </c>
      <c r="GX76" s="89">
        <v>1918578</v>
      </c>
      <c r="GY76" s="97">
        <f t="shared" si="334"/>
        <v>0</v>
      </c>
      <c r="GZ76" s="889">
        <f t="shared" si="377"/>
        <v>107124</v>
      </c>
      <c r="HA76" s="70"/>
      <c r="HB76" s="304">
        <v>418000</v>
      </c>
      <c r="HC76" s="70">
        <f t="shared" si="363"/>
        <v>418000</v>
      </c>
      <c r="HD76" s="70"/>
      <c r="HE76" s="90">
        <f t="shared" si="345"/>
        <v>0.10303972107295409</v>
      </c>
      <c r="HF76" s="95"/>
      <c r="HG76" s="70">
        <v>21631</v>
      </c>
      <c r="HH76" s="91">
        <f t="shared" si="336"/>
        <v>0</v>
      </c>
      <c r="HI76" s="22">
        <f t="shared" si="346"/>
        <v>19000</v>
      </c>
      <c r="HJ76" s="84">
        <f t="shared" si="115"/>
        <v>76287.681818181823</v>
      </c>
      <c r="HK76" s="91">
        <f>HH76/AD76</f>
        <v>0</v>
      </c>
      <c r="HL76" s="92">
        <v>6.31</v>
      </c>
      <c r="HM76" s="92"/>
      <c r="HN76" s="93"/>
      <c r="HO76" s="93"/>
      <c r="HP76" s="52">
        <f>(GP76+HB76+HO76)/AD76</f>
        <v>76287.681818181823</v>
      </c>
      <c r="HQ76" s="93"/>
      <c r="HR76" s="52">
        <f>(GQ76+HC76+HO76+HQ76)/AD76</f>
        <v>76287.681818181823</v>
      </c>
      <c r="HS76" s="53">
        <f t="shared" si="364"/>
        <v>0.41371902399198557</v>
      </c>
      <c r="HT76" s="93"/>
      <c r="HU76" s="93"/>
      <c r="HV76" s="70"/>
      <c r="HW76" s="42">
        <f t="shared" si="365"/>
        <v>4056688</v>
      </c>
      <c r="HX76" s="293">
        <v>461347</v>
      </c>
      <c r="HY76" s="293">
        <f t="shared" si="344"/>
        <v>161472</v>
      </c>
      <c r="HZ76" s="250"/>
      <c r="IA76" s="409"/>
      <c r="IB76" s="409"/>
      <c r="IC76" s="250"/>
      <c r="ID76" s="250"/>
      <c r="IE76" s="414"/>
      <c r="IF76" s="250">
        <v>43145</v>
      </c>
      <c r="IG76" s="414">
        <v>47870</v>
      </c>
      <c r="IH76" s="250" t="s">
        <v>756</v>
      </c>
      <c r="II76" s="414">
        <v>113602</v>
      </c>
      <c r="IJ76" s="309"/>
      <c r="IK76" s="415">
        <v>0</v>
      </c>
      <c r="IL76" s="411"/>
      <c r="IM76" s="411"/>
      <c r="IN76" s="292"/>
      <c r="IO76" s="297"/>
      <c r="IP76" s="292"/>
      <c r="IQ76" s="297"/>
      <c r="IR76" s="323"/>
      <c r="IS76" s="323"/>
      <c r="IT76" s="323"/>
      <c r="IU76" s="323"/>
      <c r="IV76" s="286"/>
      <c r="IW76" s="286"/>
      <c r="IX76" s="286"/>
      <c r="IY76" s="286"/>
      <c r="IZ76" s="286"/>
      <c r="JA76" s="286"/>
      <c r="JB76" s="409">
        <v>47870</v>
      </c>
      <c r="JC76" s="340"/>
      <c r="JD76" s="119"/>
      <c r="JE76" s="340"/>
      <c r="JF76" s="340"/>
      <c r="JG76" s="295"/>
    </row>
    <row r="77" spans="1:267" ht="21.75" customHeight="1">
      <c r="A77" s="930" t="s">
        <v>478</v>
      </c>
      <c r="B77" s="56" t="s">
        <v>34</v>
      </c>
      <c r="C77" s="56" t="s">
        <v>114</v>
      </c>
      <c r="D77" s="56">
        <v>2018</v>
      </c>
      <c r="E77" s="56" t="s">
        <v>667</v>
      </c>
      <c r="F77" s="56" t="s">
        <v>419</v>
      </c>
      <c r="G77" s="56"/>
      <c r="H77" s="58"/>
      <c r="I77" s="56"/>
      <c r="J77" s="56" t="s">
        <v>479</v>
      </c>
      <c r="K77" s="272" t="s">
        <v>713</v>
      </c>
      <c r="L77" s="176"/>
      <c r="M77" s="177"/>
      <c r="N77" s="178"/>
      <c r="O77" s="217"/>
      <c r="P77" s="217">
        <v>309010</v>
      </c>
      <c r="Q77" s="217"/>
      <c r="R77" s="217">
        <f>P77/AD77</f>
        <v>9088.5294117647063</v>
      </c>
      <c r="S77" s="217" t="e">
        <f t="shared" si="378"/>
        <v>#DIV/0!</v>
      </c>
      <c r="T77" s="223" t="e">
        <f t="shared" si="367"/>
        <v>#DIV/0!</v>
      </c>
      <c r="U77" s="223">
        <f t="shared" si="368"/>
        <v>0</v>
      </c>
      <c r="V77" s="223">
        <f t="shared" si="369"/>
        <v>0</v>
      </c>
      <c r="W77" s="217">
        <f t="shared" si="370"/>
        <v>0</v>
      </c>
      <c r="X77" s="218"/>
      <c r="Y77" s="226" t="e">
        <f t="shared" si="379"/>
        <v>#DIV/0!</v>
      </c>
      <c r="Z77" s="218"/>
      <c r="AA77" s="218"/>
      <c r="AB77" s="219"/>
      <c r="AC77" s="56" t="s">
        <v>16</v>
      </c>
      <c r="AD77" s="342">
        <f t="shared" si="286"/>
        <v>34</v>
      </c>
      <c r="AE77" s="67"/>
      <c r="AF77" s="56">
        <v>34</v>
      </c>
      <c r="AG77" s="119"/>
      <c r="AH77" s="119"/>
      <c r="AI77" s="60">
        <v>2635.29</v>
      </c>
      <c r="AJ77" s="94">
        <v>2635.29</v>
      </c>
      <c r="AK77" s="60">
        <f>AJ77/AD77</f>
        <v>77.508529411764698</v>
      </c>
      <c r="AL77" s="81">
        <f>1/AD77</f>
        <v>2.9411764705882353E-2</v>
      </c>
      <c r="AM77" s="81">
        <f>10/AD77</f>
        <v>0.29411764705882354</v>
      </c>
      <c r="AN77" s="81">
        <f>16/AD77</f>
        <v>0.47058823529411764</v>
      </c>
      <c r="AO77" s="81">
        <f>7/AD77</f>
        <v>0.20588235294117646</v>
      </c>
      <c r="AP77" s="81"/>
      <c r="AQ77" s="60"/>
      <c r="AR77" s="79"/>
      <c r="AS77" s="81"/>
      <c r="AT77" s="60"/>
      <c r="AU77" s="59" t="s">
        <v>626</v>
      </c>
      <c r="AV77" s="56"/>
      <c r="AW77" s="251" t="s">
        <v>630</v>
      </c>
      <c r="AX77" s="194"/>
      <c r="AY77" s="114"/>
      <c r="AZ77" s="114"/>
      <c r="BA77" s="99"/>
      <c r="BB77" s="214"/>
      <c r="BC77" s="101"/>
      <c r="BD77" s="101"/>
      <c r="BE77" s="214"/>
      <c r="BF77" s="101"/>
      <c r="BG77" s="170"/>
      <c r="BH77" s="213"/>
      <c r="BI77" s="170"/>
      <c r="BJ77" s="170"/>
      <c r="BK77" s="102"/>
      <c r="BL77" s="198">
        <f t="shared" si="288"/>
        <v>731</v>
      </c>
      <c r="BM77" s="198">
        <f t="shared" si="289"/>
        <v>1096</v>
      </c>
      <c r="BN77" s="198"/>
      <c r="BO77" s="170"/>
      <c r="BP77" s="175"/>
      <c r="BQ77" s="102"/>
      <c r="BR77" s="103"/>
      <c r="BS77" s="103"/>
      <c r="BT77" s="103"/>
      <c r="BU77" s="168"/>
      <c r="BV77" s="266"/>
      <c r="BW77" s="266"/>
      <c r="BX77" s="167"/>
      <c r="BY77" s="266"/>
      <c r="BZ77" s="266"/>
      <c r="CA77" s="266"/>
      <c r="CB77" s="266" t="s">
        <v>172</v>
      </c>
      <c r="CC77" s="781"/>
      <c r="CD77" s="615"/>
      <c r="CE77" s="452">
        <v>43455</v>
      </c>
      <c r="CF77" s="445"/>
      <c r="CG77" s="600">
        <f t="shared" si="290"/>
        <v>1448.5</v>
      </c>
      <c r="CH77" s="260">
        <v>16</v>
      </c>
      <c r="CI77" s="260">
        <f t="shared" si="291"/>
        <v>17</v>
      </c>
      <c r="CJ77" s="255">
        <f t="shared" si="292"/>
        <v>16</v>
      </c>
      <c r="CK77" s="255">
        <f t="shared" si="293"/>
        <v>17</v>
      </c>
      <c r="CL77" s="255">
        <f t="shared" si="294"/>
        <v>0</v>
      </c>
      <c r="CM77" s="255">
        <f t="shared" si="295"/>
        <v>0</v>
      </c>
      <c r="CN77" s="261"/>
      <c r="CO77" s="261">
        <f t="shared" si="296"/>
        <v>0</v>
      </c>
      <c r="CP77" s="256"/>
      <c r="CQ77" s="797">
        <f t="shared" si="297"/>
        <v>43942</v>
      </c>
      <c r="CR77" s="454">
        <f t="shared" si="371"/>
        <v>43942</v>
      </c>
      <c r="CS77" s="752">
        <f t="shared" si="372"/>
        <v>731</v>
      </c>
      <c r="CT77" s="256"/>
      <c r="CU77" s="883">
        <f t="shared" si="300"/>
        <v>0</v>
      </c>
      <c r="CV77" s="256"/>
      <c r="CW77" s="749">
        <f t="shared" si="350"/>
        <v>43972</v>
      </c>
      <c r="CX77" s="612">
        <f t="shared" si="373"/>
        <v>43972</v>
      </c>
      <c r="CY77" s="753"/>
      <c r="CZ77" s="122"/>
      <c r="DA77" s="125"/>
      <c r="DB77" s="125"/>
      <c r="DC77" s="125"/>
      <c r="DD77" s="125"/>
      <c r="DE77" s="125"/>
      <c r="DF77" s="56"/>
      <c r="DG77" s="296">
        <f t="shared" si="303"/>
        <v>44307</v>
      </c>
      <c r="DH77" s="56"/>
      <c r="DI77" s="56"/>
      <c r="DJ77" s="56"/>
      <c r="DK77" s="56"/>
      <c r="DL77" s="56"/>
      <c r="DM77" s="56"/>
      <c r="DN77" s="56"/>
      <c r="DO77" s="56"/>
      <c r="DP77" s="56"/>
      <c r="DQ77" s="56"/>
      <c r="DR77" s="56"/>
      <c r="DS77" s="56"/>
      <c r="DT77" s="710"/>
      <c r="DU77" s="713"/>
      <c r="DV77" s="713"/>
      <c r="DW77" s="715" t="str">
        <f t="shared" si="304"/>
        <v>0</v>
      </c>
      <c r="DX77" s="713"/>
      <c r="DY77" s="713"/>
      <c r="DZ77" s="715" t="str">
        <f t="shared" si="305"/>
        <v>0</v>
      </c>
      <c r="EA77" s="713"/>
      <c r="EB77" s="713"/>
      <c r="EC77" s="715" t="str">
        <f t="shared" si="306"/>
        <v>0</v>
      </c>
      <c r="ED77" s="713"/>
      <c r="EE77" s="713"/>
      <c r="EF77" s="715" t="str">
        <f t="shared" si="307"/>
        <v>0</v>
      </c>
      <c r="EG77" s="716"/>
      <c r="EH77" s="717"/>
      <c r="EI77" s="715" t="str">
        <f t="shared" si="308"/>
        <v>0</v>
      </c>
      <c r="EJ77" s="718"/>
      <c r="EK77" s="695"/>
      <c r="EL77" s="696"/>
      <c r="EM77" s="697" t="str">
        <f t="shared" si="309"/>
        <v>0</v>
      </c>
      <c r="EN77" s="695"/>
      <c r="EO77" s="696"/>
      <c r="EP77" s="697" t="str">
        <f t="shared" si="311"/>
        <v>0</v>
      </c>
      <c r="EQ77" s="695"/>
      <c r="ER77" s="696"/>
      <c r="ES77" s="697" t="str">
        <f t="shared" si="313"/>
        <v>0</v>
      </c>
      <c r="ET77" s="695"/>
      <c r="EU77" s="722"/>
      <c r="EV77" s="698" t="str">
        <f t="shared" si="315"/>
        <v>0</v>
      </c>
      <c r="EW77" s="699"/>
      <c r="EX77" s="700"/>
      <c r="EY77" s="697" t="str">
        <f t="shared" si="317"/>
        <v>0</v>
      </c>
      <c r="EZ77" s="702"/>
      <c r="FA77" s="701"/>
      <c r="FB77" s="697" t="str">
        <f t="shared" si="319"/>
        <v>0</v>
      </c>
      <c r="FC77" s="703"/>
      <c r="FD77" s="703"/>
      <c r="FE77" s="697" t="str">
        <f t="shared" si="320"/>
        <v>0</v>
      </c>
      <c r="FF77" s="703"/>
      <c r="FG77" s="703"/>
      <c r="FH77" s="697" t="str">
        <f t="shared" si="321"/>
        <v>0</v>
      </c>
      <c r="FI77" s="701"/>
      <c r="FJ77" s="701"/>
      <c r="FK77" s="697" t="str">
        <f t="shared" si="322"/>
        <v>0</v>
      </c>
      <c r="FL77" s="703"/>
      <c r="FM77" s="703"/>
      <c r="FN77" s="703"/>
      <c r="FO77" s="703"/>
      <c r="FP77" s="701">
        <f t="shared" si="323"/>
        <v>43942</v>
      </c>
      <c r="FQ77" s="699">
        <f t="shared" si="348"/>
        <v>0</v>
      </c>
      <c r="FR77" s="703"/>
      <c r="FS77" s="701">
        <f t="shared" si="324"/>
        <v>43972</v>
      </c>
      <c r="FT77" s="727"/>
      <c r="FU77" s="727"/>
      <c r="FV77" s="727"/>
      <c r="FW77" s="727"/>
      <c r="FX77" s="728">
        <f t="shared" si="325"/>
        <v>0</v>
      </c>
      <c r="FY77" s="728">
        <f t="shared" si="362"/>
        <v>1465.7333333333333</v>
      </c>
      <c r="FZ77" s="724"/>
      <c r="GA77" s="741"/>
      <c r="GB77" s="741"/>
      <c r="GC77" s="724"/>
      <c r="GD77" s="117"/>
      <c r="GE77" s="117"/>
      <c r="GF77" s="95">
        <f t="shared" si="374"/>
        <v>5275081.05</v>
      </c>
      <c r="GG77" s="70">
        <f t="shared" si="366"/>
        <v>5275083.05</v>
      </c>
      <c r="GH77" s="96">
        <f t="shared" si="328"/>
        <v>2</v>
      </c>
      <c r="GI77" s="52">
        <f t="shared" si="375"/>
        <v>2001.7087493217066</v>
      </c>
      <c r="GJ77" s="52">
        <f t="shared" si="376"/>
        <v>155149.50147058823</v>
      </c>
      <c r="GK77" s="95"/>
      <c r="GL77" s="70"/>
      <c r="GM77" s="96">
        <f t="shared" si="331"/>
        <v>0</v>
      </c>
      <c r="GN77" s="136">
        <f t="shared" si="332"/>
        <v>0</v>
      </c>
      <c r="GO77" s="137">
        <v>0.4</v>
      </c>
      <c r="GP77" s="95">
        <v>1530341</v>
      </c>
      <c r="GQ77" s="70">
        <v>1530342</v>
      </c>
      <c r="GR77" s="70"/>
      <c r="GS77" s="52">
        <f t="shared" si="333"/>
        <v>45010.058823529413</v>
      </c>
      <c r="GT77" s="97"/>
      <c r="GU77" s="95">
        <v>3003468</v>
      </c>
      <c r="GV77" s="70">
        <f t="shared" si="343"/>
        <v>3003469</v>
      </c>
      <c r="GW77" s="89">
        <v>541398</v>
      </c>
      <c r="GX77" s="89">
        <v>2462071</v>
      </c>
      <c r="GY77" s="97">
        <f t="shared" si="334"/>
        <v>1</v>
      </c>
      <c r="GZ77" s="889">
        <f t="shared" si="377"/>
        <v>88337.323529411762</v>
      </c>
      <c r="HA77" s="70"/>
      <c r="HB77" s="304">
        <v>714000</v>
      </c>
      <c r="HC77" s="70">
        <f t="shared" si="363"/>
        <v>714000</v>
      </c>
      <c r="HD77" s="70"/>
      <c r="HE77" s="90">
        <f t="shared" si="345"/>
        <v>0.1353533192240452</v>
      </c>
      <c r="HF77" s="95"/>
      <c r="HG77" s="70">
        <v>27272.05</v>
      </c>
      <c r="HH77" s="91">
        <f t="shared" si="336"/>
        <v>0</v>
      </c>
      <c r="HI77" s="22">
        <f t="shared" si="346"/>
        <v>21000</v>
      </c>
      <c r="HJ77" s="84">
        <f t="shared" si="115"/>
        <v>66010.058823529413</v>
      </c>
      <c r="HK77" s="91">
        <f>HH77/AD77</f>
        <v>0</v>
      </c>
      <c r="HL77" s="92">
        <v>6.31</v>
      </c>
      <c r="HM77" s="92"/>
      <c r="HN77" s="93"/>
      <c r="HO77" s="93"/>
      <c r="HP77" s="52">
        <f>(GP77+HB77+HO77)/AD77</f>
        <v>66010.029411764699</v>
      </c>
      <c r="HQ77" s="93"/>
      <c r="HR77" s="52">
        <f>(GQ77+HC77+HO77+HQ77)/AD77</f>
        <v>66010.058823529413</v>
      </c>
      <c r="HS77" s="53">
        <f t="shared" si="364"/>
        <v>0.42546095097439313</v>
      </c>
      <c r="HT77" s="93"/>
      <c r="HU77" s="93"/>
      <c r="HV77" s="70"/>
      <c r="HW77" s="98">
        <f t="shared" si="365"/>
        <v>5275081.05</v>
      </c>
      <c r="HX77" s="243"/>
      <c r="HY77" s="243">
        <f t="shared" si="344"/>
        <v>0</v>
      </c>
      <c r="HZ77" s="118"/>
      <c r="IA77" s="339"/>
      <c r="IB77" s="339"/>
      <c r="IC77" s="253"/>
      <c r="ID77" s="253"/>
      <c r="IE77" s="413"/>
      <c r="IF77" s="250"/>
      <c r="IG77" s="414"/>
      <c r="IH77" s="250"/>
      <c r="II77" s="414"/>
      <c r="IJ77" s="309"/>
      <c r="IK77" s="415"/>
      <c r="IL77" s="411"/>
      <c r="IM77" s="411"/>
      <c r="IN77" s="204"/>
      <c r="IO77" s="413"/>
      <c r="IP77" s="204"/>
      <c r="IQ77" s="413"/>
      <c r="IR77" s="309"/>
      <c r="IS77" s="309"/>
      <c r="IT77" s="309"/>
      <c r="IU77" s="309"/>
      <c r="IV77" s="286"/>
      <c r="IW77" s="286"/>
      <c r="IX77" s="286"/>
      <c r="IY77" s="286"/>
      <c r="IZ77" s="286"/>
      <c r="JA77" s="286"/>
      <c r="JB77" s="413"/>
      <c r="JC77" s="412"/>
      <c r="JD77" s="309"/>
      <c r="JE77" s="412"/>
      <c r="JF77" s="412"/>
      <c r="JG77" s="309"/>
    </row>
    <row r="78" spans="1:267" ht="24.95" customHeight="1">
      <c r="A78" s="899" t="s">
        <v>758</v>
      </c>
      <c r="B78" s="56" t="s">
        <v>163</v>
      </c>
      <c r="C78" s="56" t="s">
        <v>115</v>
      </c>
      <c r="D78" s="56">
        <v>2018</v>
      </c>
      <c r="E78" s="56" t="s">
        <v>669</v>
      </c>
      <c r="F78" s="56" t="s">
        <v>424</v>
      </c>
      <c r="G78" s="56" t="s">
        <v>725</v>
      </c>
      <c r="H78" s="58" t="s">
        <v>178</v>
      </c>
      <c r="I78" s="56"/>
      <c r="J78" s="56" t="s">
        <v>727</v>
      </c>
      <c r="K78" s="272" t="s">
        <v>772</v>
      </c>
      <c r="L78" s="176" t="s">
        <v>665</v>
      </c>
      <c r="M78" s="177"/>
      <c r="N78" s="178"/>
      <c r="O78" s="217">
        <v>7382</v>
      </c>
      <c r="P78" s="217">
        <v>1016540</v>
      </c>
      <c r="Q78" s="217"/>
      <c r="R78" s="217">
        <f>P78/AD78</f>
        <v>26065.128205128207</v>
      </c>
      <c r="S78" s="217">
        <f t="shared" si="378"/>
        <v>137.7052289352479</v>
      </c>
      <c r="T78" s="223">
        <f t="shared" si="367"/>
        <v>0</v>
      </c>
      <c r="U78" s="223">
        <f t="shared" si="368"/>
        <v>0</v>
      </c>
      <c r="V78" s="223">
        <f t="shared" si="369"/>
        <v>0</v>
      </c>
      <c r="W78" s="217">
        <f t="shared" si="370"/>
        <v>189.28205128205127</v>
      </c>
      <c r="X78" s="218"/>
      <c r="Y78" s="219"/>
      <c r="Z78" s="218"/>
      <c r="AA78" s="218"/>
      <c r="AB78" s="219"/>
      <c r="AC78" s="56" t="s">
        <v>15</v>
      </c>
      <c r="AD78" s="342">
        <f t="shared" ref="AD78:AD104" si="380">SUM(AE78:AH78)</f>
        <v>39</v>
      </c>
      <c r="AE78" s="56">
        <v>39</v>
      </c>
      <c r="AF78" s="67"/>
      <c r="AG78" s="67"/>
      <c r="AH78" s="67"/>
      <c r="AI78" s="60">
        <v>3148.1</v>
      </c>
      <c r="AJ78" s="94">
        <v>2938.4</v>
      </c>
      <c r="AK78" s="60"/>
      <c r="AL78" s="81"/>
      <c r="AM78" s="81">
        <f>8/AD78</f>
        <v>0.20512820512820512</v>
      </c>
      <c r="AN78" s="81">
        <f>18/AD78</f>
        <v>0.46153846153846156</v>
      </c>
      <c r="AO78" s="81">
        <f>12/AD78</f>
        <v>0.30769230769230771</v>
      </c>
      <c r="AP78" s="81">
        <f>1/AD78</f>
        <v>2.564102564102564E-2</v>
      </c>
      <c r="AQ78" s="60"/>
      <c r="AR78" s="79"/>
      <c r="AS78" s="81"/>
      <c r="AT78" s="60"/>
      <c r="AU78" s="59"/>
      <c r="AV78" s="56"/>
      <c r="AW78" s="251"/>
      <c r="AX78" s="194"/>
      <c r="AY78" s="114"/>
      <c r="AZ78" s="114"/>
      <c r="BA78" s="99"/>
      <c r="BB78" s="214"/>
      <c r="BC78" s="101"/>
      <c r="BD78" s="101"/>
      <c r="BE78" s="214"/>
      <c r="BF78" s="101"/>
      <c r="BG78" s="170"/>
      <c r="BH78" s="213"/>
      <c r="BI78" s="170"/>
      <c r="BJ78" s="170"/>
      <c r="BK78" s="102"/>
      <c r="BL78" s="198"/>
      <c r="BM78" s="198"/>
      <c r="BN78" s="198"/>
      <c r="BO78" s="170"/>
      <c r="BP78" s="175"/>
      <c r="BQ78" s="102"/>
      <c r="BR78" s="103"/>
      <c r="BS78" s="103"/>
      <c r="BT78" s="103"/>
      <c r="BU78" s="168"/>
      <c r="BV78" s="266"/>
      <c r="BW78" s="266"/>
      <c r="BX78" s="167"/>
      <c r="BY78" s="266"/>
      <c r="BZ78" s="266"/>
      <c r="CA78" s="266"/>
      <c r="CB78" s="266" t="s">
        <v>172</v>
      </c>
      <c r="CC78" s="781"/>
      <c r="CD78" s="615"/>
      <c r="CE78" s="452">
        <v>43560</v>
      </c>
      <c r="CF78" s="445"/>
      <c r="CG78" s="600">
        <f t="shared" ref="CG78:CG103" si="381">(DATEDIF(BB78,CE78,"d"))/30</f>
        <v>1452</v>
      </c>
      <c r="CH78" s="260">
        <v>14</v>
      </c>
      <c r="CI78" s="260">
        <f t="shared" ref="CI78:CI103" si="382">CH78+1</f>
        <v>15</v>
      </c>
      <c r="CJ78" s="255">
        <f t="shared" ref="CJ78:CJ103" si="383">DATEDIF(CE78,CR78,"M")</f>
        <v>14</v>
      </c>
      <c r="CK78" s="255">
        <f t="shared" ref="CK78:CK103" si="384">DATEDIF(CE78,CX78,"M")</f>
        <v>15</v>
      </c>
      <c r="CL78" s="255">
        <f t="shared" ref="CL78:CL104" si="385">DATEDIF(CQ78,CR78,"M")</f>
        <v>0</v>
      </c>
      <c r="CM78" s="255">
        <f t="shared" ref="CM78:CM103" si="386">CK78-CI78</f>
        <v>0</v>
      </c>
      <c r="CN78" s="261"/>
      <c r="CO78" s="261">
        <f t="shared" ref="CO78:CO103" si="387">CN78*(CJ78-CH78)</f>
        <v>0</v>
      </c>
      <c r="CP78" s="256"/>
      <c r="CQ78" s="797">
        <f t="shared" ref="CQ78:CQ104" si="388">DATE(YEAR(CE78),MONTH(CE78)+CH78,DAY(CE78))</f>
        <v>43987</v>
      </c>
      <c r="CR78" s="454">
        <f t="shared" si="371"/>
        <v>43987</v>
      </c>
      <c r="CS78" s="752">
        <f t="shared" si="372"/>
        <v>731</v>
      </c>
      <c r="CT78" s="256"/>
      <c r="CU78" s="883">
        <f t="shared" ref="CU78:CU104" si="389">(DATEDIF(BB78,CT78,"d"))/30/12</f>
        <v>0</v>
      </c>
      <c r="CV78" s="256"/>
      <c r="CW78" s="749">
        <f t="shared" si="350"/>
        <v>44017</v>
      </c>
      <c r="CX78" s="612">
        <f t="shared" si="373"/>
        <v>44017</v>
      </c>
      <c r="CY78" s="753"/>
      <c r="CZ78" s="122"/>
      <c r="DA78" s="125"/>
      <c r="DB78" s="125"/>
      <c r="DC78" s="125"/>
      <c r="DD78" s="125"/>
      <c r="DE78" s="125"/>
      <c r="DF78" s="56"/>
      <c r="DG78" s="296">
        <f t="shared" ref="DG78:DG104" si="390">DATE(YEAR(CR78)+1,MONTH(CR78),DAY(CR78))</f>
        <v>44352</v>
      </c>
      <c r="DH78" s="56"/>
      <c r="DI78" s="56"/>
      <c r="DJ78" s="56"/>
      <c r="DK78" s="56"/>
      <c r="DL78" s="56"/>
      <c r="DM78" s="56"/>
      <c r="DN78" s="56"/>
      <c r="DO78" s="56"/>
      <c r="DP78" s="56"/>
      <c r="DQ78" s="56"/>
      <c r="DR78" s="56"/>
      <c r="DS78" s="56"/>
      <c r="DT78" s="340">
        <v>43019</v>
      </c>
      <c r="DU78" s="126">
        <v>43034</v>
      </c>
      <c r="DV78" s="126">
        <v>43020</v>
      </c>
      <c r="DW78" s="691">
        <f t="shared" si="304"/>
        <v>-14</v>
      </c>
      <c r="DX78" s="126">
        <v>43140</v>
      </c>
      <c r="DY78" s="126">
        <v>43139</v>
      </c>
      <c r="DZ78" s="691">
        <f t="shared" ref="DZ78:DZ104" si="391">IF(AND(DX78&gt;0,DY78&gt;0),DY78-DX78,"0")</f>
        <v>-1</v>
      </c>
      <c r="EA78" s="713">
        <v>43091</v>
      </c>
      <c r="EB78" s="710">
        <f ca="1">IF(EA78&lt;TODAY(),TODAY(),EA78)</f>
        <v>43188</v>
      </c>
      <c r="EC78" s="715">
        <f t="shared" ref="EC78:EC104" ca="1" si="392">IF(AND(EA78&gt;0,EB78&gt;0),EB78-EA78,"0")</f>
        <v>97</v>
      </c>
      <c r="ED78" s="713">
        <v>43221</v>
      </c>
      <c r="EE78" s="710">
        <f ca="1">IF(ED78&lt;TODAY(),TODAY(),ED78)</f>
        <v>43221</v>
      </c>
      <c r="EF78" s="715">
        <f t="shared" ref="EF78:EF104" ca="1" si="393">IF(AND(ED78&gt;0,EE78&gt;0),EE78-ED78,"0")</f>
        <v>0</v>
      </c>
      <c r="EG78" s="713">
        <v>43280</v>
      </c>
      <c r="EH78" s="713">
        <f ca="1">IF(EG78&lt;TODAY(),TODAY(),EG78)</f>
        <v>43280</v>
      </c>
      <c r="EI78" s="715">
        <f t="shared" ref="EI78:EI104" ca="1" si="394">IF(AND(EG78&gt;0,EH78&gt;0),EH78-EG78,"0")</f>
        <v>0</v>
      </c>
      <c r="EJ78" s="718"/>
      <c r="EK78" s="695">
        <v>43543</v>
      </c>
      <c r="EL78" s="701">
        <f ca="1">IF(EK78&lt;TODAY(),TODAY(),EK78)</f>
        <v>43543</v>
      </c>
      <c r="EM78" s="697">
        <f t="shared" ref="EM78:EM104" ca="1" si="395">IF(AND(EK78&gt;0,EL78&gt;0),EL78-EK78,"0")</f>
        <v>0</v>
      </c>
      <c r="EN78" s="695">
        <v>43544</v>
      </c>
      <c r="EO78" s="701">
        <f ca="1">IF(EN78&lt;TODAY(),TODAY(),EN78)</f>
        <v>43544</v>
      </c>
      <c r="EP78" s="697">
        <f t="shared" ref="EP78:EP104" ca="1" si="396">IF(AND(EN78&gt;0,EO78&gt;0),EO78-EN78,"0")</f>
        <v>0</v>
      </c>
      <c r="EQ78" s="695"/>
      <c r="ER78" s="701">
        <f ca="1">IF(EQ78&lt;TODAY(),TODAY(),EQ78)</f>
        <v>43188</v>
      </c>
      <c r="ES78" s="697" t="str">
        <f t="shared" ref="ES78:ES104" ca="1" si="397">IF(AND(EQ78&gt;0,ER78&gt;0),ER78-EQ78,"0")</f>
        <v>0</v>
      </c>
      <c r="ET78" s="695"/>
      <c r="EU78" s="722">
        <f ca="1">IF(ET78&lt;TODAY(),TODAY(),ET78)</f>
        <v>43188</v>
      </c>
      <c r="EV78" s="698" t="str">
        <f t="shared" ref="EV78:EV104" ca="1" si="398">IF(AND(ET78&gt;0,EU78&gt;0),EU78-ET78,"0")</f>
        <v>0</v>
      </c>
      <c r="EW78" s="699"/>
      <c r="EX78" s="701">
        <f ca="1">IF(EW78&lt;TODAY(),TODAY(),EW78)</f>
        <v>43188</v>
      </c>
      <c r="EY78" s="697" t="str">
        <f t="shared" ref="EY78:EY104" ca="1" si="399">IF(AND(EW78&gt;0,EX78&gt;0),EX78-EW78,"0")</f>
        <v>0</v>
      </c>
      <c r="EZ78" s="696"/>
      <c r="FA78" s="701">
        <f ca="1">IF(EZ78&lt;TODAY(),TODAY(),EZ78)</f>
        <v>43188</v>
      </c>
      <c r="FB78" s="697" t="str">
        <f t="shared" ref="FB78:FB104" ca="1" si="400">IF(AND(EZ78&gt;0,FA78&gt;0),FA78-EZ78,"0")</f>
        <v>0</v>
      </c>
      <c r="FC78" s="703"/>
      <c r="FD78" s="701">
        <f ca="1">IF(FC78&lt;TODAY(),TODAY(),FC78)</f>
        <v>43188</v>
      </c>
      <c r="FE78" s="697" t="str">
        <f t="shared" ref="FE78:FE104" ca="1" si="401">IF(AND(FC78&gt;0,FD78&gt;0),FD78-FC78,"0")</f>
        <v>0</v>
      </c>
      <c r="FF78" s="703"/>
      <c r="FG78" s="701">
        <f ca="1">IF(FF78&lt;TODAY(),TODAY(),FF78)</f>
        <v>43188</v>
      </c>
      <c r="FH78" s="697" t="str">
        <f t="shared" ref="FH78:FH104" ca="1" si="402">IF(AND(FF78&gt;0,FG78&gt;0),FG78-FF78,"0")</f>
        <v>0</v>
      </c>
      <c r="FI78" s="703"/>
      <c r="FJ78" s="701">
        <f ca="1">IF(FI78&lt;TODAY(),TODAY(),FI78)</f>
        <v>43188</v>
      </c>
      <c r="FK78" s="697" t="str">
        <f t="shared" ref="FK78:FK104" ca="1" si="403">IF(AND(FI78&gt;0,FJ78&gt;0),FJ78-FI78,"0")</f>
        <v>0</v>
      </c>
      <c r="FL78" s="703"/>
      <c r="FM78" s="703"/>
      <c r="FN78" s="703"/>
      <c r="FO78" s="701">
        <v>44088</v>
      </c>
      <c r="FP78" s="701">
        <f t="shared" ref="FP78:FP104" si="404">CR78</f>
        <v>43987</v>
      </c>
      <c r="FQ78" s="699">
        <f t="shared" ca="1" si="348"/>
        <v>18.133333333333333</v>
      </c>
      <c r="FR78" s="701">
        <v>44118</v>
      </c>
      <c r="FS78" s="701">
        <f t="shared" ref="FS78:FS104" si="405">CX78</f>
        <v>44017</v>
      </c>
      <c r="FT78" s="727">
        <v>0</v>
      </c>
      <c r="FU78" s="727">
        <v>0</v>
      </c>
      <c r="FV78" s="727"/>
      <c r="FW78" s="727"/>
      <c r="FX78" s="728">
        <f t="shared" ref="FX78:FX104" ca="1" si="406">(DW78+DZ78+EC78+EF78+EI78+EM78+EP78)/30</f>
        <v>2.7333333333333334</v>
      </c>
      <c r="FY78" s="728">
        <f t="shared" si="362"/>
        <v>-3.3666666666666667</v>
      </c>
      <c r="FZ78" s="724"/>
      <c r="GA78" s="741"/>
      <c r="GB78" s="724" t="s">
        <v>865</v>
      </c>
      <c r="GC78" s="724"/>
      <c r="GD78" s="117"/>
      <c r="GE78" s="117"/>
      <c r="GF78" s="95">
        <f t="shared" si="374"/>
        <v>6675946.6299999999</v>
      </c>
      <c r="GG78" s="70">
        <f t="shared" si="366"/>
        <v>6941404</v>
      </c>
      <c r="GH78" s="96">
        <f t="shared" si="328"/>
        <v>265457.37000000011</v>
      </c>
      <c r="GI78" s="52">
        <f t="shared" si="375"/>
        <v>2204.9502874749851</v>
      </c>
      <c r="GJ78" s="52">
        <f t="shared" si="376"/>
        <v>177984.71794871794</v>
      </c>
      <c r="GK78" s="95"/>
      <c r="GL78" s="70"/>
      <c r="GM78" s="96">
        <f t="shared" si="331"/>
        <v>0</v>
      </c>
      <c r="GN78" s="136">
        <f t="shared" si="332"/>
        <v>0</v>
      </c>
      <c r="GO78" s="137">
        <v>0.4</v>
      </c>
      <c r="GP78" s="95">
        <v>1941014.63</v>
      </c>
      <c r="GQ78" s="70">
        <v>2206472</v>
      </c>
      <c r="GR78" s="70"/>
      <c r="GS78" s="52">
        <f t="shared" si="333"/>
        <v>56576.205128205125</v>
      </c>
      <c r="GT78" s="97"/>
      <c r="GU78" s="95">
        <f>GV78</f>
        <v>3993932</v>
      </c>
      <c r="GV78" s="70">
        <f t="shared" si="343"/>
        <v>3993932</v>
      </c>
      <c r="GW78" s="89">
        <v>1012569</v>
      </c>
      <c r="GX78" s="89">
        <v>2981363</v>
      </c>
      <c r="GY78" s="97">
        <f t="shared" si="334"/>
        <v>0</v>
      </c>
      <c r="GZ78" s="889">
        <f t="shared" si="377"/>
        <v>102408.51282051283</v>
      </c>
      <c r="HA78" s="70"/>
      <c r="HB78" s="304">
        <v>741000</v>
      </c>
      <c r="HC78" s="70">
        <v>741000</v>
      </c>
      <c r="HD78" s="70"/>
      <c r="HE78" s="41">
        <f t="shared" si="345"/>
        <v>0.10675073803512949</v>
      </c>
      <c r="HF78" s="95"/>
      <c r="HG78" s="70"/>
      <c r="HH78" s="91">
        <f t="shared" ref="HH78:HH103" si="407">HC78-HB78</f>
        <v>0</v>
      </c>
      <c r="HI78" s="22">
        <f t="shared" si="346"/>
        <v>19000</v>
      </c>
      <c r="HJ78" s="84">
        <f t="shared" si="115"/>
        <v>75576.205128205125</v>
      </c>
      <c r="HK78" s="91">
        <f>HH78/AD78</f>
        <v>0</v>
      </c>
      <c r="HL78" s="92">
        <v>6.74</v>
      </c>
      <c r="HM78" s="92">
        <v>6.3</v>
      </c>
      <c r="HN78" s="93"/>
      <c r="HO78" s="93"/>
      <c r="HP78" s="52">
        <f>(GP78+HB78+HO78)/AD78</f>
        <v>68769.605897435889</v>
      </c>
      <c r="HQ78" s="93"/>
      <c r="HR78" s="52">
        <f>(GQ78+HC78+HO78+HQ78)/AD78</f>
        <v>75576.205128205125</v>
      </c>
      <c r="HS78" s="53">
        <f t="shared" si="364"/>
        <v>0.40174297049465779</v>
      </c>
      <c r="HT78" s="93"/>
      <c r="HU78" s="93"/>
      <c r="HV78" s="70"/>
      <c r="HW78" s="42">
        <f t="shared" si="365"/>
        <v>6675946.6299999999</v>
      </c>
      <c r="HX78" s="243">
        <v>341366</v>
      </c>
      <c r="HY78" s="243">
        <f t="shared" si="344"/>
        <v>102410</v>
      </c>
      <c r="HZ78" s="118">
        <v>43026</v>
      </c>
      <c r="IA78" s="339">
        <v>25896</v>
      </c>
      <c r="IB78" s="595">
        <v>43080</v>
      </c>
      <c r="IC78" s="869">
        <v>20695</v>
      </c>
      <c r="ID78" s="341">
        <v>43178</v>
      </c>
      <c r="IE78" s="339">
        <v>24757</v>
      </c>
      <c r="IF78" s="341">
        <v>43139</v>
      </c>
      <c r="IG78" s="243">
        <v>31062</v>
      </c>
      <c r="IH78" s="406"/>
      <c r="II78" s="243"/>
      <c r="IJ78" s="119"/>
      <c r="IK78" s="403"/>
      <c r="IL78" s="595"/>
      <c r="IM78" s="338"/>
      <c r="IN78" s="292"/>
      <c r="IO78" s="293"/>
      <c r="IP78" s="292"/>
      <c r="IQ78" s="293"/>
      <c r="IR78" s="323"/>
      <c r="IS78" s="323"/>
      <c r="IT78" s="323"/>
      <c r="IU78" s="323"/>
      <c r="IV78" s="286"/>
      <c r="IW78" s="286"/>
      <c r="IX78" s="286"/>
      <c r="IY78" s="286"/>
      <c r="IZ78" s="286"/>
      <c r="JA78" s="286"/>
      <c r="JB78" s="339">
        <v>31062</v>
      </c>
      <c r="JC78" s="122"/>
      <c r="JD78" s="295"/>
      <c r="JE78" s="122"/>
      <c r="JF78" s="122"/>
      <c r="JG78" s="295"/>
    </row>
    <row r="79" spans="1:267" ht="24.95" customHeight="1">
      <c r="A79" s="899" t="s">
        <v>765</v>
      </c>
      <c r="B79" s="56" t="s">
        <v>40</v>
      </c>
      <c r="C79" s="56" t="s">
        <v>115</v>
      </c>
      <c r="D79" s="56">
        <v>2018</v>
      </c>
      <c r="E79" s="56" t="s">
        <v>670</v>
      </c>
      <c r="F79" s="56" t="s">
        <v>564</v>
      </c>
      <c r="G79" s="8" t="s">
        <v>725</v>
      </c>
      <c r="H79" s="58" t="s">
        <v>178</v>
      </c>
      <c r="I79" s="56"/>
      <c r="J79" s="56"/>
      <c r="K79" s="272" t="s">
        <v>773</v>
      </c>
      <c r="L79" s="176"/>
      <c r="M79" s="177"/>
      <c r="N79" s="178"/>
      <c r="O79" s="217">
        <v>2641</v>
      </c>
      <c r="P79" s="217"/>
      <c r="Q79" s="217">
        <v>313500</v>
      </c>
      <c r="R79" s="217" t="e">
        <f>P79/AH79</f>
        <v>#DIV/0!</v>
      </c>
      <c r="S79" s="217">
        <f t="shared" si="378"/>
        <v>0</v>
      </c>
      <c r="T79" s="223">
        <f t="shared" si="367"/>
        <v>118.70503597122303</v>
      </c>
      <c r="U79" s="223">
        <f t="shared" si="368"/>
        <v>120.78178757045603</v>
      </c>
      <c r="V79" s="223">
        <f t="shared" si="369"/>
        <v>9500</v>
      </c>
      <c r="W79" s="217">
        <f t="shared" si="370"/>
        <v>80.030303030303031</v>
      </c>
      <c r="X79" s="218"/>
      <c r="Y79" s="219"/>
      <c r="Z79" s="218" t="s">
        <v>198</v>
      </c>
      <c r="AA79" s="218"/>
      <c r="AB79" s="219"/>
      <c r="AC79" s="56" t="s">
        <v>15</v>
      </c>
      <c r="AD79" s="342">
        <f t="shared" si="380"/>
        <v>33</v>
      </c>
      <c r="AE79" s="56">
        <v>33</v>
      </c>
      <c r="AF79" s="67"/>
      <c r="AG79" s="67"/>
      <c r="AH79" s="133"/>
      <c r="AI79" s="60">
        <v>2595.59</v>
      </c>
      <c r="AJ79" s="94">
        <v>2595.59</v>
      </c>
      <c r="AK79" s="60">
        <f>AJ79/AD79</f>
        <v>78.654242424242426</v>
      </c>
      <c r="AL79" s="81">
        <f>7/AD79</f>
        <v>0.21212121212121213</v>
      </c>
      <c r="AM79" s="81">
        <f>3/AD79</f>
        <v>9.0909090909090912E-2</v>
      </c>
      <c r="AN79" s="81">
        <f>12/AD79</f>
        <v>0.36363636363636365</v>
      </c>
      <c r="AO79" s="81">
        <f>10/AD79</f>
        <v>0.30303030303030304</v>
      </c>
      <c r="AP79" s="81">
        <f>1/AD79</f>
        <v>3.0303030303030304E-2</v>
      </c>
      <c r="AQ79" s="60"/>
      <c r="AR79" s="79"/>
      <c r="AS79" s="81"/>
      <c r="AT79" s="60"/>
      <c r="AU79" s="59"/>
      <c r="AV79" s="56"/>
      <c r="AW79" s="251"/>
      <c r="AX79" s="194"/>
      <c r="AY79" s="114"/>
      <c r="AZ79" s="114"/>
      <c r="BA79" s="99"/>
      <c r="BB79" s="214"/>
      <c r="BC79" s="101"/>
      <c r="BD79" s="101"/>
      <c r="BE79" s="214"/>
      <c r="BF79" s="101"/>
      <c r="BG79" s="170"/>
      <c r="BH79" s="213"/>
      <c r="BI79" s="170"/>
      <c r="BJ79" s="170"/>
      <c r="BK79" s="102"/>
      <c r="BL79" s="198"/>
      <c r="BM79" s="198"/>
      <c r="BN79" s="198"/>
      <c r="BO79" s="170"/>
      <c r="BP79" s="175"/>
      <c r="BQ79" s="102"/>
      <c r="BR79" s="103"/>
      <c r="BS79" s="103"/>
      <c r="BT79" s="103"/>
      <c r="BU79" s="168"/>
      <c r="BV79" s="266"/>
      <c r="BW79" s="266"/>
      <c r="BX79" s="167"/>
      <c r="BY79" s="266"/>
      <c r="BZ79" s="266"/>
      <c r="CA79" s="266"/>
      <c r="CB79" s="266" t="s">
        <v>172</v>
      </c>
      <c r="CC79" s="781"/>
      <c r="CD79" s="615"/>
      <c r="CE79" s="452">
        <v>43539</v>
      </c>
      <c r="CF79" s="445"/>
      <c r="CG79" s="600">
        <f t="shared" si="381"/>
        <v>1451.3</v>
      </c>
      <c r="CH79" s="260">
        <v>14</v>
      </c>
      <c r="CI79" s="260">
        <f t="shared" si="382"/>
        <v>15</v>
      </c>
      <c r="CJ79" s="255">
        <f t="shared" si="383"/>
        <v>14</v>
      </c>
      <c r="CK79" s="255">
        <f t="shared" si="384"/>
        <v>15</v>
      </c>
      <c r="CL79" s="255">
        <f t="shared" si="385"/>
        <v>0</v>
      </c>
      <c r="CM79" s="255">
        <f t="shared" si="386"/>
        <v>0</v>
      </c>
      <c r="CN79" s="261"/>
      <c r="CO79" s="261">
        <f t="shared" si="387"/>
        <v>0</v>
      </c>
      <c r="CP79" s="256"/>
      <c r="CQ79" s="797">
        <f t="shared" si="388"/>
        <v>43966</v>
      </c>
      <c r="CR79" s="454">
        <f t="shared" si="371"/>
        <v>43966</v>
      </c>
      <c r="CS79" s="752">
        <f t="shared" si="372"/>
        <v>731</v>
      </c>
      <c r="CT79" s="256"/>
      <c r="CU79" s="883">
        <f t="shared" si="389"/>
        <v>0</v>
      </c>
      <c r="CV79" s="256"/>
      <c r="CW79" s="749">
        <f t="shared" si="350"/>
        <v>43997</v>
      </c>
      <c r="CX79" s="612">
        <f t="shared" si="373"/>
        <v>43997</v>
      </c>
      <c r="CY79" s="753"/>
      <c r="CZ79" s="122"/>
      <c r="DA79" s="125"/>
      <c r="DB79" s="125"/>
      <c r="DC79" s="125"/>
      <c r="DD79" s="125"/>
      <c r="DE79" s="125"/>
      <c r="DF79" s="56"/>
      <c r="DG79" s="296">
        <f t="shared" si="390"/>
        <v>44331</v>
      </c>
      <c r="DH79" s="56"/>
      <c r="DI79" s="56"/>
      <c r="DJ79" s="56"/>
      <c r="DK79" s="56"/>
      <c r="DL79" s="56"/>
      <c r="DM79" s="56"/>
      <c r="DN79" s="56"/>
      <c r="DO79" s="56"/>
      <c r="DP79" s="56"/>
      <c r="DQ79" s="56"/>
      <c r="DR79" s="56"/>
      <c r="DS79" s="56"/>
      <c r="DT79" s="710">
        <v>43017</v>
      </c>
      <c r="DU79" s="713">
        <v>43032</v>
      </c>
      <c r="DV79" s="713">
        <v>43039</v>
      </c>
      <c r="DW79" s="715">
        <f t="shared" si="304"/>
        <v>7</v>
      </c>
      <c r="DX79" s="713">
        <v>43140</v>
      </c>
      <c r="DY79" s="713">
        <v>43139</v>
      </c>
      <c r="DZ79" s="715">
        <f t="shared" si="391"/>
        <v>-1</v>
      </c>
      <c r="EA79" s="713">
        <v>43130</v>
      </c>
      <c r="EB79" s="713">
        <f ca="1">IF(EA79&lt;TODAY(),TODAY(),EA79)</f>
        <v>43188</v>
      </c>
      <c r="EC79" s="715">
        <f t="shared" ca="1" si="392"/>
        <v>58</v>
      </c>
      <c r="ED79" s="713">
        <v>43201</v>
      </c>
      <c r="EE79" s="713">
        <f ca="1">IF(ED79&lt;TODAY(),TODAY(),ED79)</f>
        <v>43201</v>
      </c>
      <c r="EF79" s="715">
        <f t="shared" ca="1" si="393"/>
        <v>0</v>
      </c>
      <c r="EG79" s="713">
        <v>43259</v>
      </c>
      <c r="EH79" s="713">
        <f ca="1">IF(EG79&lt;TODAY(),TODAY(),EG79)</f>
        <v>43259</v>
      </c>
      <c r="EI79" s="715">
        <f t="shared" ca="1" si="394"/>
        <v>0</v>
      </c>
      <c r="EJ79" s="718"/>
      <c r="EK79" s="695">
        <v>43551</v>
      </c>
      <c r="EL79" s="701">
        <f ca="1">IF(EK79&lt;TODAY(),TODAY(),EK79)</f>
        <v>43551</v>
      </c>
      <c r="EM79" s="697">
        <f t="shared" ca="1" si="395"/>
        <v>0</v>
      </c>
      <c r="EN79" s="695">
        <v>43566</v>
      </c>
      <c r="EO79" s="701">
        <f ca="1">IF(EN79&lt;TODAY(),TODAY(),EN79)</f>
        <v>43566</v>
      </c>
      <c r="EP79" s="697">
        <f t="shared" ca="1" si="396"/>
        <v>0</v>
      </c>
      <c r="EQ79" s="695"/>
      <c r="ER79" s="701">
        <f ca="1">IF(EQ79&lt;TODAY(),TODAY(),EQ79)</f>
        <v>43188</v>
      </c>
      <c r="ES79" s="697" t="str">
        <f t="shared" ca="1" si="397"/>
        <v>0</v>
      </c>
      <c r="ET79" s="695"/>
      <c r="EU79" s="722">
        <f ca="1">IF(ET79&lt;TODAY(),TODAY(),ET79)</f>
        <v>43188</v>
      </c>
      <c r="EV79" s="698" t="str">
        <f t="shared" ca="1" si="398"/>
        <v>0</v>
      </c>
      <c r="EW79" s="699"/>
      <c r="EX79" s="701">
        <f ca="1">IF(EW79&lt;TODAY(),TODAY(),EW79)</f>
        <v>43188</v>
      </c>
      <c r="EY79" s="697" t="str">
        <f t="shared" ca="1" si="399"/>
        <v>0</v>
      </c>
      <c r="EZ79" s="701"/>
      <c r="FA79" s="701">
        <f ca="1">IF(EZ79&lt;TODAY(),TODAY(),EZ79)</f>
        <v>43188</v>
      </c>
      <c r="FB79" s="697" t="str">
        <f t="shared" ca="1" si="400"/>
        <v>0</v>
      </c>
      <c r="FC79" s="701"/>
      <c r="FD79" s="701">
        <f ca="1">IF(FC79&lt;TODAY(),TODAY(),FC79)</f>
        <v>43188</v>
      </c>
      <c r="FE79" s="697" t="str">
        <f t="shared" ca="1" si="401"/>
        <v>0</v>
      </c>
      <c r="FF79" s="701"/>
      <c r="FG79" s="701">
        <f ca="1">IF(FF79&lt;TODAY(),TODAY(),FF79)</f>
        <v>43188</v>
      </c>
      <c r="FH79" s="697" t="str">
        <f t="shared" ca="1" si="402"/>
        <v>0</v>
      </c>
      <c r="FI79" s="701"/>
      <c r="FJ79" s="701">
        <f ca="1">IF(FI79&lt;TODAY(),TODAY(),FI79)</f>
        <v>43188</v>
      </c>
      <c r="FK79" s="697" t="str">
        <f t="shared" ca="1" si="403"/>
        <v>0</v>
      </c>
      <c r="FL79" s="701"/>
      <c r="FM79" s="701"/>
      <c r="FN79" s="701"/>
      <c r="FO79" s="701">
        <v>44105</v>
      </c>
      <c r="FP79" s="701">
        <f t="shared" si="404"/>
        <v>43966</v>
      </c>
      <c r="FQ79" s="699">
        <f t="shared" ca="1" si="348"/>
        <v>17.966666666666665</v>
      </c>
      <c r="FR79" s="701">
        <v>44134</v>
      </c>
      <c r="FS79" s="701">
        <f t="shared" si="405"/>
        <v>43997</v>
      </c>
      <c r="FT79" s="727">
        <v>0</v>
      </c>
      <c r="FU79" s="727">
        <v>0</v>
      </c>
      <c r="FV79" s="727"/>
      <c r="FW79" s="727"/>
      <c r="FX79" s="728">
        <f t="shared" ca="1" si="406"/>
        <v>2.1333333333333333</v>
      </c>
      <c r="FY79" s="728">
        <f t="shared" si="362"/>
        <v>-4.5666666666666664</v>
      </c>
      <c r="FZ79" s="724"/>
      <c r="GA79" s="741"/>
      <c r="GB79" s="724" t="s">
        <v>867</v>
      </c>
      <c r="GC79" s="724"/>
      <c r="GD79" s="117"/>
      <c r="GE79" s="117"/>
      <c r="GF79" s="95">
        <f t="shared" si="374"/>
        <v>5455396</v>
      </c>
      <c r="GG79" s="70">
        <f t="shared" si="366"/>
        <v>5567908</v>
      </c>
      <c r="GH79" s="96">
        <f t="shared" si="328"/>
        <v>112512</v>
      </c>
      <c r="GI79" s="52">
        <f t="shared" si="375"/>
        <v>2145.1415670425604</v>
      </c>
      <c r="GJ79" s="52">
        <f t="shared" si="376"/>
        <v>168724.48484848486</v>
      </c>
      <c r="GK79" s="95"/>
      <c r="GL79" s="70"/>
      <c r="GM79" s="96">
        <f t="shared" si="331"/>
        <v>0</v>
      </c>
      <c r="GN79" s="136">
        <f t="shared" si="332"/>
        <v>0</v>
      </c>
      <c r="GO79" s="137">
        <v>0.4</v>
      </c>
      <c r="GP79" s="95">
        <v>1728972</v>
      </c>
      <c r="GQ79" s="70">
        <v>1771481</v>
      </c>
      <c r="GR79" s="70"/>
      <c r="GS79" s="52">
        <f t="shared" si="333"/>
        <v>53681.242424242424</v>
      </c>
      <c r="GT79" s="97"/>
      <c r="GU79" s="95">
        <v>3079214</v>
      </c>
      <c r="GV79" s="70">
        <f t="shared" si="343"/>
        <v>3149217</v>
      </c>
      <c r="GW79" s="89">
        <v>424625</v>
      </c>
      <c r="GX79" s="89">
        <v>2724592</v>
      </c>
      <c r="GY79" s="97">
        <f t="shared" si="334"/>
        <v>70003</v>
      </c>
      <c r="GZ79" s="889">
        <f t="shared" si="377"/>
        <v>95430.818181818177</v>
      </c>
      <c r="HA79" s="70"/>
      <c r="HB79" s="304">
        <v>643500</v>
      </c>
      <c r="HC79" s="70">
        <v>643500</v>
      </c>
      <c r="HD79" s="70"/>
      <c r="HE79" s="41">
        <f t="shared" si="345"/>
        <v>0.11557303030150642</v>
      </c>
      <c r="HF79" s="95"/>
      <c r="HG79" s="70">
        <v>3710</v>
      </c>
      <c r="HH79" s="91">
        <f t="shared" si="407"/>
        <v>0</v>
      </c>
      <c r="HI79" s="22">
        <f t="shared" si="346"/>
        <v>19500</v>
      </c>
      <c r="HJ79" s="84">
        <f t="shared" si="115"/>
        <v>73181.242424242431</v>
      </c>
      <c r="HK79" s="91" t="e">
        <f>HH79/AH79</f>
        <v>#DIV/0!</v>
      </c>
      <c r="HL79" s="92">
        <v>6.66</v>
      </c>
      <c r="HM79" s="92">
        <v>5.84</v>
      </c>
      <c r="HN79" s="93"/>
      <c r="HO79" s="93"/>
      <c r="HP79" s="52" t="e">
        <f>(GP79+HB79+HO79)/AH79</f>
        <v>#DIV/0!</v>
      </c>
      <c r="HQ79" s="93"/>
      <c r="HR79" s="52" t="e">
        <f>(GQ79+HC79+HO79+HQ79)/AH79</f>
        <v>#DIV/0!</v>
      </c>
      <c r="HS79" s="53">
        <f t="shared" si="364"/>
        <v>0.43488538687200712</v>
      </c>
      <c r="HT79" s="93"/>
      <c r="HU79" s="93"/>
      <c r="HV79" s="70"/>
      <c r="HW79" s="42">
        <f t="shared" si="365"/>
        <v>5455396</v>
      </c>
      <c r="HX79" s="293">
        <v>263611</v>
      </c>
      <c r="HY79" s="293">
        <f t="shared" si="344"/>
        <v>65903</v>
      </c>
      <c r="HZ79" s="118">
        <v>43073</v>
      </c>
      <c r="IA79" s="339">
        <v>23541</v>
      </c>
      <c r="IB79" s="595">
        <v>43080</v>
      </c>
      <c r="IC79" s="339">
        <f>14076+1925</f>
        <v>16001</v>
      </c>
      <c r="ID79" s="305"/>
      <c r="IE79" s="624"/>
      <c r="IF79" s="305">
        <v>43145</v>
      </c>
      <c r="IG79" s="290">
        <v>26361</v>
      </c>
      <c r="IH79" s="305"/>
      <c r="II79" s="625"/>
      <c r="IJ79" s="295"/>
      <c r="IK79" s="300"/>
      <c r="IL79" s="595"/>
      <c r="IM79" s="338"/>
      <c r="IN79" s="292"/>
      <c r="IO79" s="297"/>
      <c r="IP79" s="292"/>
      <c r="IQ79" s="297"/>
      <c r="IR79" s="323"/>
      <c r="IS79" s="323"/>
      <c r="IT79" s="323"/>
      <c r="IU79" s="323"/>
      <c r="IV79" s="286"/>
      <c r="IW79" s="286"/>
      <c r="IX79" s="286"/>
      <c r="IY79" s="286"/>
      <c r="IZ79" s="286"/>
      <c r="JA79" s="286"/>
      <c r="JB79" s="339">
        <f>25078+1283</f>
        <v>26361</v>
      </c>
      <c r="JC79" s="122"/>
      <c r="JD79" s="295"/>
      <c r="JE79" s="122"/>
      <c r="JF79" s="122"/>
      <c r="JG79" s="295"/>
    </row>
    <row r="80" spans="1:267" ht="24.95" customHeight="1">
      <c r="A80" s="899" t="s">
        <v>764</v>
      </c>
      <c r="B80" s="56" t="s">
        <v>40</v>
      </c>
      <c r="C80" s="56" t="s">
        <v>115</v>
      </c>
      <c r="D80" s="56">
        <v>2018</v>
      </c>
      <c r="E80" s="56" t="s">
        <v>671</v>
      </c>
      <c r="F80" s="56" t="s">
        <v>564</v>
      </c>
      <c r="G80" s="8" t="s">
        <v>292</v>
      </c>
      <c r="H80" s="58" t="s">
        <v>178</v>
      </c>
      <c r="I80" s="56"/>
      <c r="J80" s="56" t="s">
        <v>682</v>
      </c>
      <c r="K80" s="272" t="s">
        <v>712</v>
      </c>
      <c r="L80" s="176"/>
      <c r="M80" s="177"/>
      <c r="N80" s="178"/>
      <c r="O80" s="217">
        <v>3040</v>
      </c>
      <c r="P80" s="217"/>
      <c r="Q80" s="217">
        <v>205275</v>
      </c>
      <c r="R80" s="217">
        <f>P80/AD80</f>
        <v>0</v>
      </c>
      <c r="S80" s="217">
        <f t="shared" si="378"/>
        <v>0</v>
      </c>
      <c r="T80" s="223">
        <f t="shared" si="367"/>
        <v>67.524671052631575</v>
      </c>
      <c r="U80" s="223">
        <f t="shared" si="368"/>
        <v>89.910647803425178</v>
      </c>
      <c r="V80" s="223">
        <f t="shared" si="369"/>
        <v>6842.5</v>
      </c>
      <c r="W80" s="217">
        <f t="shared" si="370"/>
        <v>101.33333333333333</v>
      </c>
      <c r="X80" s="218"/>
      <c r="Y80" s="226">
        <f>AJ80/O80</f>
        <v>0.75101973684210521</v>
      </c>
      <c r="Z80" s="218" t="s">
        <v>192</v>
      </c>
      <c r="AA80" s="218"/>
      <c r="AB80" s="219"/>
      <c r="AC80" s="56" t="s">
        <v>16</v>
      </c>
      <c r="AD80" s="342">
        <f t="shared" si="380"/>
        <v>30</v>
      </c>
      <c r="AE80" s="67"/>
      <c r="AF80" s="56">
        <v>30</v>
      </c>
      <c r="AG80" s="119"/>
      <c r="AH80" s="119"/>
      <c r="AI80" s="60">
        <v>2297.19</v>
      </c>
      <c r="AJ80" s="94">
        <v>2283.1</v>
      </c>
      <c r="AK80" s="60">
        <f>AJ80/AD80</f>
        <v>76.103333333333325</v>
      </c>
      <c r="AL80" s="81">
        <f>5/AD80</f>
        <v>0.16666666666666666</v>
      </c>
      <c r="AM80" s="81">
        <f>8/AD80</f>
        <v>0.26666666666666666</v>
      </c>
      <c r="AN80" s="81">
        <f>11/AD80</f>
        <v>0.36666666666666664</v>
      </c>
      <c r="AO80" s="81">
        <f>5/AD80</f>
        <v>0.16666666666666666</v>
      </c>
      <c r="AP80" s="81">
        <f>1/AD80</f>
        <v>3.3333333333333333E-2</v>
      </c>
      <c r="AQ80" s="60"/>
      <c r="AR80" s="79"/>
      <c r="AS80" s="81"/>
      <c r="AT80" s="60"/>
      <c r="AU80" s="59"/>
      <c r="AV80" s="56"/>
      <c r="AW80" s="251"/>
      <c r="AX80" s="194"/>
      <c r="AY80" s="114"/>
      <c r="AZ80" s="114"/>
      <c r="BA80" s="99"/>
      <c r="BB80" s="214"/>
      <c r="BC80" s="101"/>
      <c r="BD80" s="101"/>
      <c r="BE80" s="214"/>
      <c r="BF80" s="101"/>
      <c r="BG80" s="170"/>
      <c r="BH80" s="213"/>
      <c r="BI80" s="170"/>
      <c r="BJ80" s="170"/>
      <c r="BK80" s="102"/>
      <c r="BL80" s="198"/>
      <c r="BM80" s="198"/>
      <c r="BN80" s="198"/>
      <c r="BO80" s="170"/>
      <c r="BP80" s="175"/>
      <c r="BQ80" s="102"/>
      <c r="BR80" s="103"/>
      <c r="BS80" s="103"/>
      <c r="BT80" s="103"/>
      <c r="BU80" s="168"/>
      <c r="BV80" s="266"/>
      <c r="BW80" s="266"/>
      <c r="BX80" s="167"/>
      <c r="BY80" s="266"/>
      <c r="BZ80" s="266"/>
      <c r="CA80" s="266"/>
      <c r="CB80" s="266" t="s">
        <v>172</v>
      </c>
      <c r="CC80" s="781"/>
      <c r="CD80" s="615"/>
      <c r="CE80" s="452">
        <v>43516</v>
      </c>
      <c r="CF80" s="445"/>
      <c r="CG80" s="600">
        <f t="shared" si="381"/>
        <v>1450.5333333333333</v>
      </c>
      <c r="CH80" s="260">
        <v>16</v>
      </c>
      <c r="CI80" s="260">
        <f t="shared" si="382"/>
        <v>17</v>
      </c>
      <c r="CJ80" s="255">
        <f t="shared" si="383"/>
        <v>16</v>
      </c>
      <c r="CK80" s="255">
        <f t="shared" si="384"/>
        <v>17</v>
      </c>
      <c r="CL80" s="255">
        <f t="shared" si="385"/>
        <v>0</v>
      </c>
      <c r="CM80" s="255">
        <f t="shared" si="386"/>
        <v>0</v>
      </c>
      <c r="CN80" s="261"/>
      <c r="CO80" s="261">
        <f t="shared" si="387"/>
        <v>0</v>
      </c>
      <c r="CP80" s="256"/>
      <c r="CQ80" s="797">
        <f t="shared" si="388"/>
        <v>44002</v>
      </c>
      <c r="CR80" s="454">
        <f t="shared" si="371"/>
        <v>44002</v>
      </c>
      <c r="CS80" s="752">
        <f t="shared" si="372"/>
        <v>731</v>
      </c>
      <c r="CT80" s="256"/>
      <c r="CU80" s="883">
        <f t="shared" si="389"/>
        <v>0</v>
      </c>
      <c r="CV80" s="256"/>
      <c r="CW80" s="749">
        <f t="shared" si="350"/>
        <v>44032</v>
      </c>
      <c r="CX80" s="612">
        <f t="shared" si="373"/>
        <v>44032</v>
      </c>
      <c r="CY80" s="753"/>
      <c r="CZ80" s="122"/>
      <c r="DA80" s="125"/>
      <c r="DB80" s="125"/>
      <c r="DC80" s="125"/>
      <c r="DD80" s="125"/>
      <c r="DE80" s="125"/>
      <c r="DF80" s="56"/>
      <c r="DG80" s="296">
        <f t="shared" si="390"/>
        <v>44367</v>
      </c>
      <c r="DH80" s="56"/>
      <c r="DI80" s="56"/>
      <c r="DJ80" s="56"/>
      <c r="DK80" s="56"/>
      <c r="DL80" s="56"/>
      <c r="DM80" s="56"/>
      <c r="DN80" s="56"/>
      <c r="DO80" s="56"/>
      <c r="DP80" s="56"/>
      <c r="DQ80" s="56"/>
      <c r="DR80" s="56"/>
      <c r="DS80" s="56"/>
      <c r="DT80" s="710">
        <v>43017</v>
      </c>
      <c r="DU80" s="711">
        <v>43032</v>
      </c>
      <c r="DV80" s="711">
        <v>43017</v>
      </c>
      <c r="DW80" s="715">
        <f t="shared" si="304"/>
        <v>-15</v>
      </c>
      <c r="DX80" s="713">
        <v>43140</v>
      </c>
      <c r="DY80" s="710">
        <v>43138</v>
      </c>
      <c r="DZ80" s="715">
        <f t="shared" si="391"/>
        <v>-2</v>
      </c>
      <c r="EA80" s="713">
        <v>43125</v>
      </c>
      <c r="EB80" s="710">
        <f ca="1">IF(EA80&lt;TODAY(),TODAY(),EA80)</f>
        <v>43188</v>
      </c>
      <c r="EC80" s="715">
        <f t="shared" ca="1" si="392"/>
        <v>63</v>
      </c>
      <c r="ED80" s="713">
        <v>43200</v>
      </c>
      <c r="EE80" s="710">
        <f ca="1">IF(ED80&lt;TODAY(),TODAY(),ED80)</f>
        <v>43200</v>
      </c>
      <c r="EF80" s="715">
        <f t="shared" ca="1" si="393"/>
        <v>0</v>
      </c>
      <c r="EG80" s="713">
        <v>43259</v>
      </c>
      <c r="EH80" s="713">
        <f ca="1">IF(EG80&lt;TODAY(),TODAY(),EG80)</f>
        <v>43259</v>
      </c>
      <c r="EI80" s="715">
        <f t="shared" ca="1" si="394"/>
        <v>0</v>
      </c>
      <c r="EJ80" s="718"/>
      <c r="EK80" s="695">
        <v>43550</v>
      </c>
      <c r="EL80" s="701">
        <f ca="1">IF(EK80&lt;TODAY(),TODAY(),EK80)</f>
        <v>43550</v>
      </c>
      <c r="EM80" s="697">
        <f t="shared" ca="1" si="395"/>
        <v>0</v>
      </c>
      <c r="EN80" s="695">
        <v>43565</v>
      </c>
      <c r="EO80" s="701">
        <f ca="1">IF(EN80&lt;TODAY(),TODAY(),EN80)</f>
        <v>43565</v>
      </c>
      <c r="EP80" s="697">
        <f t="shared" ca="1" si="396"/>
        <v>0</v>
      </c>
      <c r="EQ80" s="695"/>
      <c r="ER80" s="701">
        <f ca="1">IF(EQ80&lt;TODAY(),TODAY(),EQ80)</f>
        <v>43188</v>
      </c>
      <c r="ES80" s="697" t="str">
        <f t="shared" ca="1" si="397"/>
        <v>0</v>
      </c>
      <c r="ET80" s="695"/>
      <c r="EU80" s="722">
        <f ca="1">IF(ET80&lt;TODAY(),TODAY(),ET80)</f>
        <v>43188</v>
      </c>
      <c r="EV80" s="698" t="str">
        <f t="shared" ca="1" si="398"/>
        <v>0</v>
      </c>
      <c r="EW80" s="699"/>
      <c r="EX80" s="701">
        <f ca="1">IF(EW80&lt;TODAY(),TODAY(),EW80)</f>
        <v>43188</v>
      </c>
      <c r="EY80" s="697" t="str">
        <f t="shared" ca="1" si="399"/>
        <v>0</v>
      </c>
      <c r="EZ80" s="702"/>
      <c r="FA80" s="701">
        <f ca="1">IF(EZ80&lt;TODAY(),TODAY(),EZ80)</f>
        <v>43188</v>
      </c>
      <c r="FB80" s="697" t="str">
        <f t="shared" ca="1" si="400"/>
        <v>0</v>
      </c>
      <c r="FC80" s="703"/>
      <c r="FD80" s="701">
        <f ca="1">IF(FC80&lt;TODAY(),TODAY(),FC80)</f>
        <v>43188</v>
      </c>
      <c r="FE80" s="697" t="str">
        <f t="shared" ca="1" si="401"/>
        <v>0</v>
      </c>
      <c r="FF80" s="703"/>
      <c r="FG80" s="701">
        <f ca="1">IF(FF80&lt;TODAY(),TODAY(),FF80)</f>
        <v>43188</v>
      </c>
      <c r="FH80" s="697" t="str">
        <f t="shared" ca="1" si="402"/>
        <v>0</v>
      </c>
      <c r="FI80" s="703"/>
      <c r="FJ80" s="701">
        <f ca="1">IF(FI80&lt;TODAY(),TODAY(),FI80)</f>
        <v>43188</v>
      </c>
      <c r="FK80" s="697" t="str">
        <f t="shared" ca="1" si="403"/>
        <v>0</v>
      </c>
      <c r="FL80" s="703"/>
      <c r="FM80" s="703"/>
      <c r="FN80" s="703"/>
      <c r="FO80" s="701">
        <v>44105</v>
      </c>
      <c r="FP80" s="701">
        <f t="shared" si="404"/>
        <v>44002</v>
      </c>
      <c r="FQ80" s="699">
        <f t="shared" ca="1" si="348"/>
        <v>18</v>
      </c>
      <c r="FR80" s="701">
        <v>44134</v>
      </c>
      <c r="FS80" s="701">
        <f t="shared" si="405"/>
        <v>44032</v>
      </c>
      <c r="FT80" s="727">
        <v>0</v>
      </c>
      <c r="FU80" s="727">
        <v>0</v>
      </c>
      <c r="FV80" s="727"/>
      <c r="FW80" s="727"/>
      <c r="FX80" s="728">
        <f t="shared" ca="1" si="406"/>
        <v>1.5333333333333334</v>
      </c>
      <c r="FY80" s="728">
        <f t="shared" si="362"/>
        <v>-3.4</v>
      </c>
      <c r="FZ80" s="724"/>
      <c r="GA80" s="741"/>
      <c r="GB80" s="724" t="s">
        <v>864</v>
      </c>
      <c r="GC80" s="724"/>
      <c r="GD80" s="117"/>
      <c r="GE80" s="117"/>
      <c r="GF80" s="95">
        <f t="shared" si="374"/>
        <v>4828352</v>
      </c>
      <c r="GG80" s="70">
        <f t="shared" si="366"/>
        <v>4970505</v>
      </c>
      <c r="GH80" s="96">
        <f t="shared" si="328"/>
        <v>142153</v>
      </c>
      <c r="GI80" s="52">
        <f t="shared" si="375"/>
        <v>2163.7326472777609</v>
      </c>
      <c r="GJ80" s="52">
        <f>GG80/AD80</f>
        <v>165683.5</v>
      </c>
      <c r="GK80" s="95"/>
      <c r="GL80" s="70"/>
      <c r="GM80" s="96">
        <f t="shared" si="331"/>
        <v>0</v>
      </c>
      <c r="GN80" s="136">
        <f t="shared" si="332"/>
        <v>0</v>
      </c>
      <c r="GO80" s="137">
        <v>0.4</v>
      </c>
      <c r="GP80" s="95">
        <v>1465688</v>
      </c>
      <c r="GQ80" s="70">
        <v>1494928</v>
      </c>
      <c r="GR80" s="70"/>
      <c r="GS80" s="52">
        <f t="shared" si="333"/>
        <v>49830.933333333334</v>
      </c>
      <c r="GT80" s="97"/>
      <c r="GU80" s="95">
        <v>2579514</v>
      </c>
      <c r="GV80" s="70">
        <f t="shared" si="343"/>
        <v>2692427</v>
      </c>
      <c r="GW80" s="89">
        <v>427747</v>
      </c>
      <c r="GX80" s="89">
        <v>2264680</v>
      </c>
      <c r="GY80" s="97">
        <f t="shared" si="334"/>
        <v>112913</v>
      </c>
      <c r="GZ80" s="889">
        <f t="shared" si="377"/>
        <v>89747.566666666666</v>
      </c>
      <c r="HA80" s="70"/>
      <c r="HB80" s="304">
        <v>780000</v>
      </c>
      <c r="HC80" s="70">
        <v>780000</v>
      </c>
      <c r="HD80" s="70"/>
      <c r="HE80" s="41">
        <f t="shared" si="345"/>
        <v>0.15692570473221534</v>
      </c>
      <c r="HF80" s="95"/>
      <c r="HG80" s="70">
        <v>3150</v>
      </c>
      <c r="HH80" s="91">
        <f t="shared" si="407"/>
        <v>0</v>
      </c>
      <c r="HI80" s="22">
        <f t="shared" si="346"/>
        <v>26000</v>
      </c>
      <c r="HJ80" s="84">
        <f t="shared" si="115"/>
        <v>75830.933333333334</v>
      </c>
      <c r="HK80" s="91">
        <f t="shared" ref="HK80:HK93" si="408">HH80/AD80</f>
        <v>0</v>
      </c>
      <c r="HL80" s="92">
        <v>5.38</v>
      </c>
      <c r="HM80" s="92">
        <v>5.38</v>
      </c>
      <c r="HN80" s="93"/>
      <c r="HO80" s="93"/>
      <c r="HP80" s="52">
        <f t="shared" ref="HP80:HP93" si="409">(GP80+HB80+HO80)/AD80</f>
        <v>74856.266666666663</v>
      </c>
      <c r="HQ80" s="93"/>
      <c r="HR80" s="52">
        <f t="shared" ref="HR80:HR93" si="410">(GQ80+HC80+HO80+HQ80)/AD80</f>
        <v>75830.933333333334</v>
      </c>
      <c r="HS80" s="53">
        <f t="shared" si="364"/>
        <v>0.46510444971700488</v>
      </c>
      <c r="HT80" s="93"/>
      <c r="HU80" s="93"/>
      <c r="HV80" s="70"/>
      <c r="HW80" s="42">
        <f t="shared" si="365"/>
        <v>4828352</v>
      </c>
      <c r="HX80" s="243">
        <v>246341</v>
      </c>
      <c r="HY80" s="243">
        <f t="shared" si="344"/>
        <v>73902</v>
      </c>
      <c r="HZ80" s="118">
        <v>43073</v>
      </c>
      <c r="IA80" s="339">
        <v>22546</v>
      </c>
      <c r="IB80" s="594">
        <v>43080</v>
      </c>
      <c r="IC80" s="411">
        <v>13984</v>
      </c>
      <c r="ID80" s="253">
        <v>43185</v>
      </c>
      <c r="IE80" s="409">
        <v>13019</v>
      </c>
      <c r="IF80" s="253">
        <v>43145</v>
      </c>
      <c r="IG80" s="409">
        <v>24353</v>
      </c>
      <c r="IH80" s="194"/>
      <c r="II80" s="62"/>
      <c r="IJ80" s="56"/>
      <c r="IK80" s="492"/>
      <c r="IL80" s="932"/>
      <c r="IM80" s="88"/>
      <c r="IN80" s="125"/>
      <c r="IO80" s="491"/>
      <c r="IP80" s="125"/>
      <c r="IQ80" s="491"/>
      <c r="IR80" s="56"/>
      <c r="IS80" s="56"/>
      <c r="IT80" s="56"/>
      <c r="IU80" s="56"/>
      <c r="IV80" s="56"/>
      <c r="IW80" s="56"/>
      <c r="IX80" s="56"/>
      <c r="IY80" s="56"/>
      <c r="IZ80" s="56"/>
      <c r="JA80" s="56"/>
      <c r="JB80" s="491"/>
      <c r="JC80" s="296"/>
      <c r="JD80" s="56"/>
      <c r="JE80" s="296"/>
      <c r="JF80" s="296"/>
      <c r="JG80" s="56"/>
    </row>
    <row r="81" spans="1:267" ht="24.95" customHeight="1">
      <c r="A81" s="899" t="s">
        <v>578</v>
      </c>
      <c r="B81" s="56" t="s">
        <v>34</v>
      </c>
      <c r="C81" s="56" t="s">
        <v>114</v>
      </c>
      <c r="D81" s="56">
        <v>2017</v>
      </c>
      <c r="E81" s="56" t="s">
        <v>457</v>
      </c>
      <c r="F81" s="56" t="s">
        <v>419</v>
      </c>
      <c r="G81" s="56" t="s">
        <v>185</v>
      </c>
      <c r="H81" s="58" t="s">
        <v>180</v>
      </c>
      <c r="I81" s="56"/>
      <c r="J81" s="56" t="s">
        <v>479</v>
      </c>
      <c r="K81" s="272" t="s">
        <v>713</v>
      </c>
      <c r="L81" s="176"/>
      <c r="M81" s="177"/>
      <c r="N81" s="178"/>
      <c r="O81" s="217">
        <v>11037</v>
      </c>
      <c r="P81" s="217">
        <v>705655.44208162103</v>
      </c>
      <c r="Q81" s="217"/>
      <c r="R81" s="217">
        <f>P81/AD81</f>
        <v>8400.6600247812021</v>
      </c>
      <c r="S81" s="217">
        <f t="shared" si="378"/>
        <v>63.935439166587031</v>
      </c>
      <c r="T81" s="223">
        <f t="shared" si="367"/>
        <v>0</v>
      </c>
      <c r="U81" s="223">
        <f t="shared" si="368"/>
        <v>0</v>
      </c>
      <c r="V81" s="223">
        <f t="shared" si="369"/>
        <v>0</v>
      </c>
      <c r="W81" s="217">
        <f t="shared" si="370"/>
        <v>131.39285714285714</v>
      </c>
      <c r="X81" s="218"/>
      <c r="Y81" s="219">
        <f>AJ81/O81</f>
        <v>0.58915284950620639</v>
      </c>
      <c r="Z81" s="218"/>
      <c r="AA81" s="218"/>
      <c r="AB81" s="219"/>
      <c r="AC81" s="56" t="s">
        <v>16</v>
      </c>
      <c r="AD81" s="342">
        <f t="shared" si="380"/>
        <v>84</v>
      </c>
      <c r="AE81" s="67"/>
      <c r="AF81" s="56">
        <v>84</v>
      </c>
      <c r="AG81" s="56"/>
      <c r="AH81" s="56"/>
      <c r="AI81" s="60">
        <v>6502.48</v>
      </c>
      <c r="AJ81" s="562">
        <v>6502.48</v>
      </c>
      <c r="AK81" s="10">
        <f>AJ81/AD81</f>
        <v>77.410476190476189</v>
      </c>
      <c r="AL81" s="81"/>
      <c r="AM81" s="81"/>
      <c r="AN81" s="81"/>
      <c r="AO81" s="81"/>
      <c r="AP81" s="81"/>
      <c r="AQ81" s="60"/>
      <c r="AR81" s="192"/>
      <c r="AS81" s="111"/>
      <c r="AT81" s="60"/>
      <c r="AU81" s="59" t="s">
        <v>626</v>
      </c>
      <c r="AV81" s="56" t="s">
        <v>121</v>
      </c>
      <c r="AW81" s="251" t="s">
        <v>575</v>
      </c>
      <c r="AX81" s="194"/>
      <c r="AY81" s="114"/>
      <c r="AZ81" s="114"/>
      <c r="BA81" s="99"/>
      <c r="BB81" s="214">
        <v>42929</v>
      </c>
      <c r="BC81" s="101">
        <v>43010</v>
      </c>
      <c r="BD81" s="101" t="s">
        <v>172</v>
      </c>
      <c r="BE81" s="214" t="s">
        <v>172</v>
      </c>
      <c r="BF81" s="101" t="s">
        <v>172</v>
      </c>
      <c r="BG81" s="170"/>
      <c r="BH81" s="213"/>
      <c r="BI81" s="170"/>
      <c r="BJ81" s="170"/>
      <c r="BK81" s="102"/>
      <c r="BL81" s="198">
        <f>DATE(YEAR(BK81),MONTH(BK81)+24,DAY(BK81))</f>
        <v>731</v>
      </c>
      <c r="BM81" s="198">
        <f>DATE(YEAR(BK81),MONTH(BK81)+36,DAY(BK81))</f>
        <v>1096</v>
      </c>
      <c r="BN81" s="198"/>
      <c r="BO81" s="170"/>
      <c r="BP81" s="175"/>
      <c r="BQ81" s="102"/>
      <c r="BR81" s="103"/>
      <c r="BS81" s="103"/>
      <c r="BT81" s="103"/>
      <c r="BU81" s="168"/>
      <c r="BV81" s="266"/>
      <c r="BW81" s="266"/>
      <c r="BX81" s="167"/>
      <c r="BY81" s="266"/>
      <c r="BZ81" s="266"/>
      <c r="CA81" s="266"/>
      <c r="CB81" s="266" t="s">
        <v>172</v>
      </c>
      <c r="CC81" s="781"/>
      <c r="CD81" s="615"/>
      <c r="CE81" s="452">
        <v>43322</v>
      </c>
      <c r="CF81" s="445"/>
      <c r="CG81" s="600">
        <f t="shared" si="381"/>
        <v>13.1</v>
      </c>
      <c r="CH81" s="260">
        <v>22</v>
      </c>
      <c r="CI81" s="260">
        <f t="shared" si="382"/>
        <v>23</v>
      </c>
      <c r="CJ81" s="255">
        <f t="shared" si="383"/>
        <v>22</v>
      </c>
      <c r="CK81" s="255">
        <f t="shared" si="384"/>
        <v>23</v>
      </c>
      <c r="CL81" s="255">
        <f t="shared" si="385"/>
        <v>0</v>
      </c>
      <c r="CM81" s="255">
        <f t="shared" si="386"/>
        <v>0</v>
      </c>
      <c r="CN81" s="261"/>
      <c r="CO81" s="261">
        <f t="shared" si="387"/>
        <v>0</v>
      </c>
      <c r="CP81" s="256"/>
      <c r="CQ81" s="797">
        <f t="shared" si="388"/>
        <v>43992</v>
      </c>
      <c r="CR81" s="454">
        <f t="shared" si="371"/>
        <v>43992</v>
      </c>
      <c r="CS81" s="752">
        <f t="shared" si="372"/>
        <v>731</v>
      </c>
      <c r="CT81" s="256"/>
      <c r="CU81" s="883" t="e">
        <f t="shared" si="389"/>
        <v>#NUM!</v>
      </c>
      <c r="CV81" s="256"/>
      <c r="CW81" s="749">
        <f t="shared" si="350"/>
        <v>44022</v>
      </c>
      <c r="CX81" s="612">
        <f t="shared" si="373"/>
        <v>44022</v>
      </c>
      <c r="CY81" s="753"/>
      <c r="CZ81" s="122"/>
      <c r="DA81" s="125"/>
      <c r="DB81" s="125"/>
      <c r="DC81" s="125"/>
      <c r="DD81" s="125"/>
      <c r="DE81" s="125"/>
      <c r="DF81" s="56"/>
      <c r="DG81" s="296">
        <f t="shared" si="390"/>
        <v>44357</v>
      </c>
      <c r="DH81" s="56"/>
      <c r="DI81" s="56"/>
      <c r="DJ81" s="56"/>
      <c r="DK81" s="56"/>
      <c r="DL81" s="56"/>
      <c r="DM81" s="56"/>
      <c r="DN81" s="56"/>
      <c r="DO81" s="56"/>
      <c r="DP81" s="56"/>
      <c r="DQ81" s="56"/>
      <c r="DR81" s="56"/>
      <c r="DS81" s="56"/>
      <c r="DT81" s="340">
        <v>42619</v>
      </c>
      <c r="DU81" s="126">
        <v>42619</v>
      </c>
      <c r="DV81" s="126">
        <v>42619</v>
      </c>
      <c r="DW81" s="691">
        <f t="shared" si="304"/>
        <v>0</v>
      </c>
      <c r="DX81" s="126">
        <v>42793</v>
      </c>
      <c r="DY81" s="126">
        <v>42775</v>
      </c>
      <c r="DZ81" s="691">
        <f t="shared" si="391"/>
        <v>-18</v>
      </c>
      <c r="EA81" s="340">
        <v>42772</v>
      </c>
      <c r="EB81" s="340">
        <v>42794</v>
      </c>
      <c r="EC81" s="691">
        <f t="shared" si="392"/>
        <v>22</v>
      </c>
      <c r="ED81" s="713">
        <v>42835</v>
      </c>
      <c r="EE81" s="713">
        <f ca="1">IF(ED81&lt;TODAY(),TODAY(),ED81)</f>
        <v>43188</v>
      </c>
      <c r="EF81" s="715">
        <f t="shared" ca="1" si="393"/>
        <v>353</v>
      </c>
      <c r="EG81" s="713">
        <v>43143</v>
      </c>
      <c r="EH81" s="713">
        <f ca="1">IF(EG81&lt;TODAY(),TODAY(),EG81)</f>
        <v>43188</v>
      </c>
      <c r="EI81" s="715">
        <f t="shared" ca="1" si="394"/>
        <v>45</v>
      </c>
      <c r="EJ81" s="718"/>
      <c r="EK81" s="706">
        <v>43308</v>
      </c>
      <c r="EL81" s="701">
        <f ca="1">IF(EK81&lt;TODAY(),TODAY(),EK81)</f>
        <v>43308</v>
      </c>
      <c r="EM81" s="697">
        <f t="shared" ca="1" si="395"/>
        <v>0</v>
      </c>
      <c r="EN81" s="706">
        <v>43322</v>
      </c>
      <c r="EO81" s="701">
        <f ca="1">IF(EN81&lt;TODAY(),TODAY(),EN81)</f>
        <v>43322</v>
      </c>
      <c r="EP81" s="697">
        <f t="shared" ca="1" si="396"/>
        <v>0</v>
      </c>
      <c r="EQ81" s="695"/>
      <c r="ER81" s="701">
        <f ca="1">IF(EQ81&lt;TODAY(),TODAY(),EQ81)</f>
        <v>43188</v>
      </c>
      <c r="ES81" s="697" t="str">
        <f t="shared" ca="1" si="397"/>
        <v>0</v>
      </c>
      <c r="ET81" s="695"/>
      <c r="EU81" s="722">
        <f ca="1">IF(ET81&lt;TODAY(),TODAY(),ET81)</f>
        <v>43188</v>
      </c>
      <c r="EV81" s="698" t="str">
        <f t="shared" ca="1" si="398"/>
        <v>0</v>
      </c>
      <c r="EW81" s="701"/>
      <c r="EX81" s="701">
        <f ca="1">IF(EW81&lt;TODAY(),TODAY(),EW81)</f>
        <v>43188</v>
      </c>
      <c r="EY81" s="697" t="str">
        <f t="shared" ca="1" si="399"/>
        <v>0</v>
      </c>
      <c r="EZ81" s="695"/>
      <c r="FA81" s="701">
        <f ca="1">IF(EZ81&lt;TODAY(),TODAY(),EZ81)</f>
        <v>43188</v>
      </c>
      <c r="FB81" s="697" t="str">
        <f t="shared" ca="1" si="400"/>
        <v>0</v>
      </c>
      <c r="FC81" s="701"/>
      <c r="FD81" s="701">
        <f ca="1">IF(FC81&lt;TODAY(),TODAY(),FC81)</f>
        <v>43188</v>
      </c>
      <c r="FE81" s="697" t="str">
        <f t="shared" ca="1" si="401"/>
        <v>0</v>
      </c>
      <c r="FF81" s="701"/>
      <c r="FG81" s="701">
        <f ca="1">IF(FF81&lt;TODAY(),TODAY(),FF81)</f>
        <v>43188</v>
      </c>
      <c r="FH81" s="697" t="str">
        <f t="shared" ca="1" si="402"/>
        <v>0</v>
      </c>
      <c r="FI81" s="701"/>
      <c r="FJ81" s="701">
        <f ca="1">IF(FI81&lt;TODAY(),TODAY(),FI81)</f>
        <v>43188</v>
      </c>
      <c r="FK81" s="697" t="str">
        <f t="shared" ca="1" si="403"/>
        <v>0</v>
      </c>
      <c r="FL81" s="701"/>
      <c r="FM81" s="701"/>
      <c r="FN81" s="701"/>
      <c r="FO81" s="701">
        <v>43861</v>
      </c>
      <c r="FP81" s="701">
        <f t="shared" si="404"/>
        <v>43992</v>
      </c>
      <c r="FQ81" s="699">
        <f t="shared" ca="1" si="348"/>
        <v>17.966666666666665</v>
      </c>
      <c r="FR81" s="701">
        <v>43893</v>
      </c>
      <c r="FS81" s="701">
        <f t="shared" si="405"/>
        <v>44022</v>
      </c>
      <c r="FT81" s="727">
        <v>0</v>
      </c>
      <c r="FU81" s="727">
        <v>0</v>
      </c>
      <c r="FV81" s="727"/>
      <c r="FW81" s="727"/>
      <c r="FX81" s="728">
        <f t="shared" ca="1" si="406"/>
        <v>13.4</v>
      </c>
      <c r="FY81" s="728">
        <f t="shared" si="362"/>
        <v>4.3</v>
      </c>
      <c r="FZ81" s="724"/>
      <c r="GA81" s="741"/>
      <c r="GB81" s="741" t="s">
        <v>861</v>
      </c>
      <c r="GC81" s="724"/>
      <c r="GD81" s="117"/>
      <c r="GE81" s="117"/>
      <c r="GF81" s="95">
        <f t="shared" si="374"/>
        <v>12734880</v>
      </c>
      <c r="GG81" s="70">
        <f t="shared" si="366"/>
        <v>12677323</v>
      </c>
      <c r="GH81" s="95">
        <f t="shared" si="328"/>
        <v>-57557</v>
      </c>
      <c r="GI81" s="52">
        <f t="shared" si="375"/>
        <v>1949.6135320677649</v>
      </c>
      <c r="GJ81" s="52">
        <f t="shared" si="376"/>
        <v>150920.51190476189</v>
      </c>
      <c r="GK81" s="95">
        <v>14981542.360255377</v>
      </c>
      <c r="GL81" s="95">
        <v>10898468</v>
      </c>
      <c r="GM81" s="95">
        <f t="shared" si="331"/>
        <v>-4083074.3602553774</v>
      </c>
      <c r="GN81" s="95">
        <f t="shared" si="332"/>
        <v>0.87773545156181632</v>
      </c>
      <c r="GO81" s="326">
        <v>0.4</v>
      </c>
      <c r="GP81" s="95">
        <v>3890729</v>
      </c>
      <c r="GQ81" s="70">
        <v>3808325</v>
      </c>
      <c r="GR81" s="925"/>
      <c r="GS81" s="11">
        <f t="shared" si="333"/>
        <v>45337.202380952382</v>
      </c>
      <c r="GT81" s="95">
        <f>GQ81-GP81</f>
        <v>-82404</v>
      </c>
      <c r="GU81" s="515">
        <f>6070791+1203804</f>
        <v>7274595</v>
      </c>
      <c r="GV81" s="70">
        <f t="shared" si="343"/>
        <v>7299442</v>
      </c>
      <c r="GW81" s="89">
        <v>1108476</v>
      </c>
      <c r="GX81" s="89">
        <v>6190966</v>
      </c>
      <c r="GY81" s="95">
        <f t="shared" si="334"/>
        <v>24847</v>
      </c>
      <c r="GZ81" s="892">
        <f t="shared" si="377"/>
        <v>86898.119047619053</v>
      </c>
      <c r="HA81" s="493"/>
      <c r="HB81" s="95">
        <v>1512000</v>
      </c>
      <c r="HC81" s="70">
        <v>1512000</v>
      </c>
      <c r="HD81" s="95"/>
      <c r="HE81" s="608">
        <f t="shared" si="345"/>
        <v>0.11926808207063905</v>
      </c>
      <c r="HF81" s="493"/>
      <c r="HG81" s="70">
        <v>57556</v>
      </c>
      <c r="HH81" s="91">
        <f t="shared" si="407"/>
        <v>0</v>
      </c>
      <c r="HI81" s="22">
        <f t="shared" si="346"/>
        <v>18000</v>
      </c>
      <c r="HJ81" s="84">
        <f t="shared" si="115"/>
        <v>63337.202380952382</v>
      </c>
      <c r="HK81" s="91">
        <f t="shared" si="408"/>
        <v>0</v>
      </c>
      <c r="HL81" s="92">
        <v>5.31</v>
      </c>
      <c r="HM81" s="92">
        <v>5.05</v>
      </c>
      <c r="HN81" s="93"/>
      <c r="HO81" s="93"/>
      <c r="HP81" s="52">
        <f t="shared" si="409"/>
        <v>64318.202380952382</v>
      </c>
      <c r="HQ81" s="93"/>
      <c r="HR81" s="52">
        <f t="shared" si="410"/>
        <v>63337.202380952382</v>
      </c>
      <c r="HS81" s="53">
        <f t="shared" si="364"/>
        <v>0.4242465574862111</v>
      </c>
      <c r="HT81" s="93"/>
      <c r="HU81" s="93"/>
      <c r="HV81" s="70"/>
      <c r="HW81" s="42">
        <f t="shared" si="365"/>
        <v>12734880</v>
      </c>
      <c r="HX81" s="293">
        <v>626953</v>
      </c>
      <c r="HY81" s="293">
        <f t="shared" si="344"/>
        <v>219433.3</v>
      </c>
      <c r="HZ81" s="118">
        <v>42605</v>
      </c>
      <c r="IA81" s="339">
        <v>110767</v>
      </c>
      <c r="IB81" s="339"/>
      <c r="IC81" s="341"/>
      <c r="ID81" s="341">
        <v>42716</v>
      </c>
      <c r="IE81" s="243">
        <v>22977</v>
      </c>
      <c r="IF81" s="118">
        <v>42794</v>
      </c>
      <c r="IG81" s="243">
        <v>22994</v>
      </c>
      <c r="IH81" s="118">
        <v>42926</v>
      </c>
      <c r="II81" s="243">
        <v>62695.3</v>
      </c>
      <c r="IJ81" s="119"/>
      <c r="IK81" s="403"/>
      <c r="IL81" s="338"/>
      <c r="IM81" s="338"/>
      <c r="IN81" s="292"/>
      <c r="IO81" s="297"/>
      <c r="IP81" s="292"/>
      <c r="IQ81" s="297"/>
      <c r="IR81" s="323"/>
      <c r="IS81" s="323"/>
      <c r="IT81" s="323"/>
      <c r="IU81" s="323"/>
      <c r="IV81" s="286"/>
      <c r="IW81" s="286"/>
      <c r="IX81" s="286"/>
      <c r="IY81" s="286"/>
      <c r="IZ81" s="286"/>
      <c r="JA81" s="286"/>
      <c r="JB81" s="409">
        <v>22994</v>
      </c>
      <c r="JC81" s="340"/>
      <c r="JD81" s="119"/>
      <c r="JE81" s="340"/>
      <c r="JF81" s="340"/>
      <c r="JG81" s="119"/>
    </row>
    <row r="82" spans="1:267" ht="24.95" customHeight="1">
      <c r="A82" s="934" t="s">
        <v>769</v>
      </c>
      <c r="B82" s="56" t="s">
        <v>163</v>
      </c>
      <c r="C82" s="56" t="s">
        <v>115</v>
      </c>
      <c r="D82" s="56">
        <v>2018</v>
      </c>
      <c r="E82" s="56"/>
      <c r="F82" s="56" t="s">
        <v>424</v>
      </c>
      <c r="G82" s="56" t="s">
        <v>292</v>
      </c>
      <c r="H82" s="56" t="s">
        <v>178</v>
      </c>
      <c r="I82" s="56"/>
      <c r="J82" s="56" t="s">
        <v>516</v>
      </c>
      <c r="K82" s="272"/>
      <c r="L82" s="176"/>
      <c r="M82" s="177"/>
      <c r="N82" s="178"/>
      <c r="O82" s="217">
        <v>5911</v>
      </c>
      <c r="P82" s="217">
        <v>1250000</v>
      </c>
      <c r="Q82" s="217">
        <v>1250000</v>
      </c>
      <c r="R82" s="217">
        <f t="shared" ref="R82:R84" si="411">P82/AD82</f>
        <v>34722.222222222219</v>
      </c>
      <c r="S82" s="217">
        <f t="shared" si="378"/>
        <v>211.47014041617322</v>
      </c>
      <c r="T82" s="223">
        <f t="shared" si="367"/>
        <v>211.47014041617322</v>
      </c>
      <c r="U82" s="223">
        <f t="shared" si="368"/>
        <v>433.6663891201776</v>
      </c>
      <c r="V82" s="223">
        <f t="shared" si="369"/>
        <v>34722.222222222219</v>
      </c>
      <c r="W82" s="217">
        <f t="shared" si="370"/>
        <v>164.19444444444446</v>
      </c>
      <c r="X82" s="218"/>
      <c r="Y82" s="226">
        <f t="shared" ref="Y82:Y93" si="412">AJ82/O82</f>
        <v>0.48763322618846222</v>
      </c>
      <c r="Z82" s="218"/>
      <c r="AA82" s="218"/>
      <c r="AB82" s="219"/>
      <c r="AC82" s="56" t="s">
        <v>16</v>
      </c>
      <c r="AD82" s="342">
        <f t="shared" si="380"/>
        <v>36</v>
      </c>
      <c r="AE82" s="56">
        <v>36</v>
      </c>
      <c r="AF82" s="67"/>
      <c r="AG82" s="67"/>
      <c r="AH82" s="67"/>
      <c r="AI82" s="60">
        <v>2856.92</v>
      </c>
      <c r="AJ82" s="94">
        <v>2882.4</v>
      </c>
      <c r="AK82" s="10">
        <f>AJ82/AD82</f>
        <v>80.066666666666663</v>
      </c>
      <c r="AL82" s="81"/>
      <c r="AM82" s="81"/>
      <c r="AN82" s="81">
        <f>20/AD82</f>
        <v>0.55555555555555558</v>
      </c>
      <c r="AO82" s="81">
        <f>16/AD82</f>
        <v>0.44444444444444442</v>
      </c>
      <c r="AP82" s="81"/>
      <c r="AQ82" s="60"/>
      <c r="AR82" s="79"/>
      <c r="AS82" s="81"/>
      <c r="AT82" s="60"/>
      <c r="AU82" s="56"/>
      <c r="AV82" s="56"/>
      <c r="AW82" s="250">
        <v>42691</v>
      </c>
      <c r="AX82" s="56"/>
      <c r="AY82" s="114"/>
      <c r="AZ82" s="114"/>
      <c r="BA82" s="99"/>
      <c r="BB82" s="214"/>
      <c r="BC82" s="101"/>
      <c r="BD82" s="101"/>
      <c r="BE82" s="214"/>
      <c r="BF82" s="101"/>
      <c r="BG82" s="170"/>
      <c r="BH82" s="213"/>
      <c r="BI82" s="170"/>
      <c r="BJ82" s="170"/>
      <c r="BK82" s="102"/>
      <c r="BL82" s="198">
        <f>DATE(YEAR(BK82),MONTH(BK82)+24,DAY(BK82))</f>
        <v>731</v>
      </c>
      <c r="BM82" s="198">
        <f>DATE(YEAR(BK82),MONTH(BK82)+36,DAY(BK82))</f>
        <v>1096</v>
      </c>
      <c r="BN82" s="198"/>
      <c r="BO82" s="170"/>
      <c r="BP82" s="175"/>
      <c r="BQ82" s="102"/>
      <c r="BR82" s="103"/>
      <c r="BS82" s="103"/>
      <c r="BT82" s="103"/>
      <c r="BU82" s="168"/>
      <c r="BV82" s="266"/>
      <c r="BW82" s="266"/>
      <c r="BX82" s="167"/>
      <c r="BY82" s="266"/>
      <c r="BZ82" s="266"/>
      <c r="CA82" s="266"/>
      <c r="CB82" s="266"/>
      <c r="CC82" s="780">
        <f>(CX82-CB82)/30</f>
        <v>1471.5</v>
      </c>
      <c r="CD82" s="615"/>
      <c r="CE82" s="452">
        <v>43506</v>
      </c>
      <c r="CF82" s="445"/>
      <c r="CG82" s="600">
        <f t="shared" si="381"/>
        <v>1450.2</v>
      </c>
      <c r="CH82" s="260">
        <v>20</v>
      </c>
      <c r="CI82" s="260">
        <f t="shared" si="382"/>
        <v>21</v>
      </c>
      <c r="CJ82" s="255">
        <f t="shared" si="383"/>
        <v>20</v>
      </c>
      <c r="CK82" s="255">
        <f t="shared" si="384"/>
        <v>21</v>
      </c>
      <c r="CL82" s="255">
        <f t="shared" si="385"/>
        <v>0</v>
      </c>
      <c r="CM82" s="255">
        <f t="shared" si="386"/>
        <v>0</v>
      </c>
      <c r="CN82" s="261"/>
      <c r="CO82" s="261">
        <f t="shared" si="387"/>
        <v>0</v>
      </c>
      <c r="CP82" s="256"/>
      <c r="CQ82" s="797">
        <f t="shared" si="388"/>
        <v>44114</v>
      </c>
      <c r="CR82" s="454">
        <f t="shared" si="371"/>
        <v>44114</v>
      </c>
      <c r="CS82" s="752">
        <f t="shared" si="372"/>
        <v>731</v>
      </c>
      <c r="CT82" s="256"/>
      <c r="CU82" s="883">
        <f t="shared" si="389"/>
        <v>0</v>
      </c>
      <c r="CV82" s="256"/>
      <c r="CW82" s="749">
        <f t="shared" si="350"/>
        <v>44145</v>
      </c>
      <c r="CX82" s="612">
        <f t="shared" si="373"/>
        <v>44145</v>
      </c>
      <c r="CY82" s="753"/>
      <c r="CZ82" s="122"/>
      <c r="DA82" s="125"/>
      <c r="DB82" s="125"/>
      <c r="DC82" s="125"/>
      <c r="DD82" s="125"/>
      <c r="DE82" s="125"/>
      <c r="DF82" s="56"/>
      <c r="DG82" s="296">
        <f t="shared" si="390"/>
        <v>44479</v>
      </c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710"/>
      <c r="DU82" s="713"/>
      <c r="DV82" s="713"/>
      <c r="DW82" s="715" t="str">
        <f t="shared" si="304"/>
        <v>0</v>
      </c>
      <c r="DX82" s="713">
        <v>43141</v>
      </c>
      <c r="DY82" s="713">
        <f ca="1">IF(DX82&lt;TODAY(),TODAY(),DX82)</f>
        <v>43188</v>
      </c>
      <c r="DZ82" s="715">
        <f t="shared" ca="1" si="391"/>
        <v>47</v>
      </c>
      <c r="EA82" s="713"/>
      <c r="EB82" s="713">
        <f ca="1">IF(EA82&lt;TODAY(),TODAY(),EA82)</f>
        <v>43188</v>
      </c>
      <c r="EC82" s="715" t="str">
        <f t="shared" ca="1" si="392"/>
        <v>0</v>
      </c>
      <c r="ED82" s="713"/>
      <c r="EE82" s="713">
        <f ca="1">IF(ED82&lt;TODAY(),TODAY(),ED82)</f>
        <v>43188</v>
      </c>
      <c r="EF82" s="715" t="str">
        <f t="shared" ca="1" si="393"/>
        <v>0</v>
      </c>
      <c r="EG82" s="713"/>
      <c r="EH82" s="713">
        <f ca="1">IF(EG82&lt;TODAY(),TODAY(),EG82)</f>
        <v>43188</v>
      </c>
      <c r="EI82" s="715" t="str">
        <f t="shared" ca="1" si="394"/>
        <v>0</v>
      </c>
      <c r="EJ82" s="718"/>
      <c r="EK82" s="695">
        <v>43525</v>
      </c>
      <c r="EL82" s="701">
        <f ca="1">IF(EK82&lt;TODAY(),TODAY(),EK82)</f>
        <v>43525</v>
      </c>
      <c r="EM82" s="697">
        <f t="shared" ca="1" si="395"/>
        <v>0</v>
      </c>
      <c r="EN82" s="695">
        <v>43570</v>
      </c>
      <c r="EO82" s="701">
        <f ca="1">IF(EN82&lt;TODAY(),TODAY(),EN82)</f>
        <v>43570</v>
      </c>
      <c r="EP82" s="697">
        <f t="shared" ca="1" si="396"/>
        <v>0</v>
      </c>
      <c r="EQ82" s="695"/>
      <c r="ER82" s="701">
        <f ca="1">IF(EQ82&lt;TODAY(),TODAY(),EQ82)</f>
        <v>43188</v>
      </c>
      <c r="ES82" s="697" t="str">
        <f t="shared" ca="1" si="397"/>
        <v>0</v>
      </c>
      <c r="ET82" s="695"/>
      <c r="EU82" s="722">
        <f ca="1">IF(ET82&lt;TODAY(),TODAY(),ET82)</f>
        <v>43188</v>
      </c>
      <c r="EV82" s="698" t="str">
        <f t="shared" ca="1" si="398"/>
        <v>0</v>
      </c>
      <c r="EW82" s="699"/>
      <c r="EX82" s="701">
        <f ca="1">IF(EW82&lt;TODAY(),TODAY(),EW82)</f>
        <v>43188</v>
      </c>
      <c r="EY82" s="697" t="str">
        <f t="shared" ca="1" si="399"/>
        <v>0</v>
      </c>
      <c r="EZ82" s="701"/>
      <c r="FA82" s="701">
        <f ca="1">IF(EZ82&lt;TODAY(),TODAY(),EZ82)</f>
        <v>43188</v>
      </c>
      <c r="FB82" s="697" t="str">
        <f t="shared" ca="1" si="400"/>
        <v>0</v>
      </c>
      <c r="FC82" s="701"/>
      <c r="FD82" s="701">
        <f ca="1">IF(FC82&lt;TODAY(),TODAY(),FC82)</f>
        <v>43188</v>
      </c>
      <c r="FE82" s="697" t="str">
        <f t="shared" ca="1" si="401"/>
        <v>0</v>
      </c>
      <c r="FF82" s="701"/>
      <c r="FG82" s="701">
        <f ca="1">IF(FF82&lt;TODAY(),TODAY(),FF82)</f>
        <v>43188</v>
      </c>
      <c r="FH82" s="697" t="str">
        <f t="shared" ca="1" si="402"/>
        <v>0</v>
      </c>
      <c r="FI82" s="701"/>
      <c r="FJ82" s="701">
        <f ca="1">IF(FI82&lt;TODAY(),TODAY(),FI82)</f>
        <v>43188</v>
      </c>
      <c r="FK82" s="697" t="str">
        <f t="shared" ca="1" si="403"/>
        <v>0</v>
      </c>
      <c r="FL82" s="701"/>
      <c r="FM82" s="701"/>
      <c r="FN82" s="701"/>
      <c r="FO82" s="701">
        <v>44055</v>
      </c>
      <c r="FP82" s="701">
        <f t="shared" si="404"/>
        <v>44114</v>
      </c>
      <c r="FQ82" s="699">
        <f t="shared" ca="1" si="348"/>
        <v>16.166666666666668</v>
      </c>
      <c r="FR82" s="701">
        <v>44085</v>
      </c>
      <c r="FS82" s="701">
        <f t="shared" si="405"/>
        <v>44145</v>
      </c>
      <c r="FT82" s="727">
        <v>0</v>
      </c>
      <c r="FU82" s="727">
        <v>0</v>
      </c>
      <c r="FV82" s="727"/>
      <c r="FW82" s="727"/>
      <c r="FX82" s="728">
        <f t="shared" ca="1" si="406"/>
        <v>1.5666666666666667</v>
      </c>
      <c r="FY82" s="728">
        <f t="shared" si="362"/>
        <v>2</v>
      </c>
      <c r="FZ82" s="724"/>
      <c r="GA82" s="741"/>
      <c r="GB82" s="724" t="s">
        <v>868</v>
      </c>
      <c r="GC82" s="724"/>
      <c r="GD82" s="117"/>
      <c r="GE82" s="117"/>
      <c r="GF82" s="95">
        <f t="shared" si="374"/>
        <v>5915282</v>
      </c>
      <c r="GG82" s="70">
        <f>GQ82+GV82+HC82+HV82+HD82+HG82</f>
        <v>6019556</v>
      </c>
      <c r="GH82" s="96">
        <f t="shared" si="328"/>
        <v>104274</v>
      </c>
      <c r="GI82" s="52">
        <f t="shared" si="375"/>
        <v>2107.0089466978425</v>
      </c>
      <c r="GJ82" s="52">
        <f t="shared" si="376"/>
        <v>167209.88888888888</v>
      </c>
      <c r="GK82" s="95"/>
      <c r="GL82" s="70"/>
      <c r="GM82" s="96">
        <f t="shared" si="331"/>
        <v>0</v>
      </c>
      <c r="GN82" s="136">
        <f t="shared" si="332"/>
        <v>0</v>
      </c>
      <c r="GO82" s="137">
        <v>0.4</v>
      </c>
      <c r="GP82" s="95">
        <v>1790560</v>
      </c>
      <c r="GQ82" s="70">
        <v>1894834</v>
      </c>
      <c r="GR82" s="70"/>
      <c r="GS82" s="52">
        <f t="shared" si="333"/>
        <v>52634.277777777781</v>
      </c>
      <c r="GT82" s="97"/>
      <c r="GU82" s="95">
        <f>GV82</f>
        <v>3476722</v>
      </c>
      <c r="GV82" s="70">
        <f>GW82+GX82</f>
        <v>3476722</v>
      </c>
      <c r="GW82" s="89">
        <v>1084311</v>
      </c>
      <c r="GX82" s="89">
        <v>2392411</v>
      </c>
      <c r="GY82" s="97">
        <f t="shared" si="334"/>
        <v>0</v>
      </c>
      <c r="GZ82" s="889">
        <f t="shared" si="377"/>
        <v>96575.611111111109</v>
      </c>
      <c r="HA82" s="70"/>
      <c r="HB82" s="95">
        <v>648000</v>
      </c>
      <c r="HC82" s="70">
        <f>HB82</f>
        <v>648000</v>
      </c>
      <c r="HD82" s="70"/>
      <c r="HE82" s="41">
        <f t="shared" si="345"/>
        <v>0.10764913558408627</v>
      </c>
      <c r="HF82" s="95"/>
      <c r="HG82" s="70"/>
      <c r="HH82" s="91">
        <f t="shared" si="407"/>
        <v>0</v>
      </c>
      <c r="HI82" s="22">
        <f t="shared" si="346"/>
        <v>18000</v>
      </c>
      <c r="HJ82" s="84">
        <f t="shared" si="115"/>
        <v>70634.277777777781</v>
      </c>
      <c r="HK82" s="91">
        <f t="shared" si="408"/>
        <v>0</v>
      </c>
      <c r="HL82" s="92">
        <v>6.62</v>
      </c>
      <c r="HM82" s="92">
        <v>5.63</v>
      </c>
      <c r="HN82" s="93"/>
      <c r="HO82" s="93"/>
      <c r="HP82" s="52">
        <f t="shared" si="409"/>
        <v>67737.777777777781</v>
      </c>
      <c r="HQ82" s="93"/>
      <c r="HR82" s="52">
        <f t="shared" si="410"/>
        <v>70634.277777777781</v>
      </c>
      <c r="HS82" s="53">
        <f t="shared" si="364"/>
        <v>0.41224746343454122</v>
      </c>
      <c r="HT82" s="93"/>
      <c r="HU82" s="93"/>
      <c r="HV82" s="70"/>
      <c r="HW82" s="42">
        <f t="shared" si="365"/>
        <v>5915282</v>
      </c>
      <c r="HX82" s="293"/>
      <c r="HY82" s="293">
        <f t="shared" si="344"/>
        <v>0</v>
      </c>
      <c r="HZ82" s="250"/>
      <c r="IA82" s="413"/>
      <c r="IB82" s="413"/>
      <c r="IC82" s="305"/>
      <c r="ID82" s="305"/>
      <c r="IE82" s="624"/>
      <c r="IF82" s="305"/>
      <c r="IG82" s="290"/>
      <c r="IH82" s="305"/>
      <c r="II82" s="625"/>
      <c r="IJ82" s="295"/>
      <c r="IK82" s="300"/>
      <c r="IL82" s="298"/>
      <c r="IM82" s="298"/>
      <c r="IN82" s="292"/>
      <c r="IO82" s="297"/>
      <c r="IP82" s="292"/>
      <c r="IQ82" s="297"/>
      <c r="IR82" s="323"/>
      <c r="IS82" s="323"/>
      <c r="IT82" s="323"/>
      <c r="IU82" s="323"/>
      <c r="IV82" s="286"/>
      <c r="IW82" s="286"/>
      <c r="IX82" s="286"/>
      <c r="IY82" s="286"/>
      <c r="IZ82" s="286"/>
      <c r="JA82" s="286"/>
      <c r="JB82" s="297"/>
      <c r="JC82" s="122"/>
      <c r="JD82" s="295"/>
      <c r="JE82" s="122"/>
      <c r="JF82" s="122"/>
      <c r="JG82" s="295"/>
    </row>
    <row r="83" spans="1:267" ht="24.95" customHeight="1">
      <c r="A83" s="88" t="s">
        <v>722</v>
      </c>
      <c r="B83" s="56" t="s">
        <v>82</v>
      </c>
      <c r="C83" s="56" t="s">
        <v>115</v>
      </c>
      <c r="D83" s="56">
        <v>2019</v>
      </c>
      <c r="E83" s="56"/>
      <c r="F83" s="56" t="s">
        <v>423</v>
      </c>
      <c r="G83" s="56"/>
      <c r="H83" s="56"/>
      <c r="I83" s="56"/>
      <c r="J83" s="56" t="s">
        <v>723</v>
      </c>
      <c r="K83" s="272" t="s">
        <v>755</v>
      </c>
      <c r="L83" s="176" t="s">
        <v>724</v>
      </c>
      <c r="M83" s="177"/>
      <c r="N83" s="178"/>
      <c r="O83" s="217"/>
      <c r="P83" s="217"/>
      <c r="Q83" s="217"/>
      <c r="R83" s="217">
        <f t="shared" si="411"/>
        <v>0</v>
      </c>
      <c r="S83" s="217" t="e">
        <f t="shared" si="378"/>
        <v>#DIV/0!</v>
      </c>
      <c r="T83" s="223" t="e">
        <f t="shared" si="367"/>
        <v>#DIV/0!</v>
      </c>
      <c r="U83" s="223" t="e">
        <f t="shared" si="368"/>
        <v>#DIV/0!</v>
      </c>
      <c r="V83" s="223">
        <f t="shared" si="369"/>
        <v>0</v>
      </c>
      <c r="W83" s="217">
        <f t="shared" si="370"/>
        <v>0</v>
      </c>
      <c r="X83" s="218"/>
      <c r="Y83" s="226" t="e">
        <f t="shared" si="412"/>
        <v>#DIV/0!</v>
      </c>
      <c r="Z83" s="218" t="s">
        <v>210</v>
      </c>
      <c r="AA83" s="218"/>
      <c r="AB83" s="219"/>
      <c r="AC83" s="56" t="s">
        <v>16</v>
      </c>
      <c r="AD83" s="342">
        <f t="shared" si="380"/>
        <v>16</v>
      </c>
      <c r="AE83" s="67"/>
      <c r="AF83" s="56">
        <v>16</v>
      </c>
      <c r="AG83" s="56"/>
      <c r="AH83" s="56"/>
      <c r="AI83" s="60"/>
      <c r="AJ83" s="94"/>
      <c r="AK83" s="10"/>
      <c r="AL83" s="81"/>
      <c r="AM83" s="81"/>
      <c r="AN83" s="81"/>
      <c r="AO83" s="81"/>
      <c r="AP83" s="81"/>
      <c r="AQ83" s="60"/>
      <c r="AR83" s="79"/>
      <c r="AS83" s="81"/>
      <c r="AT83" s="60"/>
      <c r="AU83" s="56"/>
      <c r="AV83" s="56"/>
      <c r="AW83" s="56"/>
      <c r="AX83" s="56"/>
      <c r="AY83" s="114"/>
      <c r="AZ83" s="114"/>
      <c r="BA83" s="99"/>
      <c r="BB83" s="214"/>
      <c r="BC83" s="101"/>
      <c r="BD83" s="101"/>
      <c r="BE83" s="214"/>
      <c r="BF83" s="101"/>
      <c r="BG83" s="170"/>
      <c r="BH83" s="213"/>
      <c r="BI83" s="170"/>
      <c r="BJ83" s="170"/>
      <c r="BK83" s="102"/>
      <c r="BL83" s="198"/>
      <c r="BM83" s="198"/>
      <c r="BN83" s="198"/>
      <c r="BO83" s="170"/>
      <c r="BP83" s="175"/>
      <c r="BQ83" s="102"/>
      <c r="BR83" s="103"/>
      <c r="BS83" s="103"/>
      <c r="BT83" s="103"/>
      <c r="BU83" s="168"/>
      <c r="BV83" s="266"/>
      <c r="BW83" s="266"/>
      <c r="BX83" s="167"/>
      <c r="BY83" s="266"/>
      <c r="BZ83" s="266"/>
      <c r="CA83" s="266"/>
      <c r="CB83" s="266" t="s">
        <v>172</v>
      </c>
      <c r="CC83" s="781"/>
      <c r="CD83" s="615"/>
      <c r="CE83" s="452">
        <v>43647</v>
      </c>
      <c r="CF83" s="445"/>
      <c r="CG83" s="600">
        <f t="shared" si="381"/>
        <v>1454.9</v>
      </c>
      <c r="CH83" s="260">
        <v>16</v>
      </c>
      <c r="CI83" s="260">
        <f t="shared" si="382"/>
        <v>17</v>
      </c>
      <c r="CJ83" s="255">
        <f t="shared" si="383"/>
        <v>16</v>
      </c>
      <c r="CK83" s="255">
        <f t="shared" si="384"/>
        <v>17</v>
      </c>
      <c r="CL83" s="255">
        <f t="shared" si="385"/>
        <v>0</v>
      </c>
      <c r="CM83" s="255">
        <f t="shared" si="386"/>
        <v>0</v>
      </c>
      <c r="CN83" s="261"/>
      <c r="CO83" s="261">
        <f t="shared" si="387"/>
        <v>0</v>
      </c>
      <c r="CP83" s="256"/>
      <c r="CQ83" s="797">
        <f t="shared" si="388"/>
        <v>44136</v>
      </c>
      <c r="CR83" s="454">
        <f t="shared" si="371"/>
        <v>44136</v>
      </c>
      <c r="CS83" s="752">
        <f t="shared" si="372"/>
        <v>731</v>
      </c>
      <c r="CT83" s="256"/>
      <c r="CU83" s="883">
        <f t="shared" si="389"/>
        <v>0</v>
      </c>
      <c r="CV83" s="256"/>
      <c r="CW83" s="749">
        <f t="shared" si="350"/>
        <v>44166</v>
      </c>
      <c r="CX83" s="612">
        <f t="shared" si="373"/>
        <v>44166</v>
      </c>
      <c r="CY83" s="753"/>
      <c r="CZ83" s="122"/>
      <c r="DA83" s="125"/>
      <c r="DB83" s="125"/>
      <c r="DC83" s="125"/>
      <c r="DD83" s="125"/>
      <c r="DE83" s="125"/>
      <c r="DF83" s="56"/>
      <c r="DG83" s="296">
        <f t="shared" si="390"/>
        <v>44501</v>
      </c>
      <c r="DH83" s="56"/>
      <c r="DI83" s="56"/>
      <c r="DJ83" s="56"/>
      <c r="DK83" s="56"/>
      <c r="DL83" s="56"/>
      <c r="DM83" s="56"/>
      <c r="DN83" s="56"/>
      <c r="DO83" s="56"/>
      <c r="DP83" s="56"/>
      <c r="DQ83" s="56"/>
      <c r="DR83" s="56"/>
      <c r="DS83" s="56"/>
      <c r="DT83" s="710"/>
      <c r="DU83" s="711"/>
      <c r="DV83" s="711"/>
      <c r="DW83" s="715" t="str">
        <f t="shared" si="304"/>
        <v>0</v>
      </c>
      <c r="DX83" s="713"/>
      <c r="DY83" s="713"/>
      <c r="DZ83" s="715" t="str">
        <f t="shared" si="391"/>
        <v>0</v>
      </c>
      <c r="EA83" s="716"/>
      <c r="EB83" s="710"/>
      <c r="EC83" s="715" t="str">
        <f t="shared" si="392"/>
        <v>0</v>
      </c>
      <c r="ED83" s="716"/>
      <c r="EE83" s="710"/>
      <c r="EF83" s="715" t="str">
        <f t="shared" si="393"/>
        <v>0</v>
      </c>
      <c r="EG83" s="716"/>
      <c r="EH83" s="717"/>
      <c r="EI83" s="715" t="str">
        <f t="shared" si="394"/>
        <v>0</v>
      </c>
      <c r="EJ83" s="718"/>
      <c r="EK83" s="695"/>
      <c r="EL83" s="696"/>
      <c r="EM83" s="697" t="str">
        <f t="shared" si="395"/>
        <v>0</v>
      </c>
      <c r="EN83" s="695"/>
      <c r="EO83" s="696"/>
      <c r="EP83" s="697" t="str">
        <f t="shared" si="396"/>
        <v>0</v>
      </c>
      <c r="EQ83" s="695"/>
      <c r="ER83" s="696"/>
      <c r="ES83" s="697" t="str">
        <f t="shared" si="397"/>
        <v>0</v>
      </c>
      <c r="ET83" s="695"/>
      <c r="EU83" s="722"/>
      <c r="EV83" s="698" t="str">
        <f t="shared" si="398"/>
        <v>0</v>
      </c>
      <c r="EW83" s="699"/>
      <c r="EX83" s="700"/>
      <c r="EY83" s="697" t="str">
        <f t="shared" si="399"/>
        <v>0</v>
      </c>
      <c r="EZ83" s="696"/>
      <c r="FA83" s="701"/>
      <c r="FB83" s="697" t="str">
        <f t="shared" si="400"/>
        <v>0</v>
      </c>
      <c r="FC83" s="703"/>
      <c r="FD83" s="703"/>
      <c r="FE83" s="697" t="str">
        <f t="shared" si="401"/>
        <v>0</v>
      </c>
      <c r="FF83" s="703"/>
      <c r="FG83" s="703"/>
      <c r="FH83" s="697" t="str">
        <f t="shared" si="402"/>
        <v>0</v>
      </c>
      <c r="FI83" s="703"/>
      <c r="FJ83" s="703"/>
      <c r="FK83" s="697" t="str">
        <f t="shared" si="403"/>
        <v>0</v>
      </c>
      <c r="FL83" s="703"/>
      <c r="FM83" s="703"/>
      <c r="FN83" s="703"/>
      <c r="FO83" s="703"/>
      <c r="FP83" s="701">
        <f t="shared" si="404"/>
        <v>44136</v>
      </c>
      <c r="FQ83" s="699">
        <f t="shared" si="348"/>
        <v>0</v>
      </c>
      <c r="FR83" s="703"/>
      <c r="FS83" s="701">
        <f t="shared" si="405"/>
        <v>44166</v>
      </c>
      <c r="FT83" s="727"/>
      <c r="FU83" s="727"/>
      <c r="FV83" s="727"/>
      <c r="FW83" s="727"/>
      <c r="FX83" s="728">
        <f t="shared" si="406"/>
        <v>0</v>
      </c>
      <c r="FY83" s="728">
        <f t="shared" si="362"/>
        <v>1472.2</v>
      </c>
      <c r="FZ83" s="724"/>
      <c r="GA83" s="741"/>
      <c r="GB83" s="724"/>
      <c r="GC83" s="724"/>
      <c r="GD83" s="117"/>
      <c r="GE83" s="117"/>
      <c r="GF83" s="95">
        <f t="shared" si="374"/>
        <v>0</v>
      </c>
      <c r="GG83" s="70">
        <f t="shared" si="366"/>
        <v>0</v>
      </c>
      <c r="GH83" s="96">
        <f t="shared" si="328"/>
        <v>0</v>
      </c>
      <c r="GI83" s="52" t="e">
        <f t="shared" si="375"/>
        <v>#DIV/0!</v>
      </c>
      <c r="GJ83" s="52">
        <f t="shared" si="376"/>
        <v>0</v>
      </c>
      <c r="GK83" s="95"/>
      <c r="GL83" s="70"/>
      <c r="GM83" s="96">
        <f t="shared" si="331"/>
        <v>0</v>
      </c>
      <c r="GN83" s="136" t="e">
        <f t="shared" si="332"/>
        <v>#DIV/0!</v>
      </c>
      <c r="GO83" s="137">
        <v>0.4</v>
      </c>
      <c r="GP83" s="95"/>
      <c r="GQ83" s="70"/>
      <c r="GR83" s="70"/>
      <c r="GS83" s="52">
        <f t="shared" ref="GS83:GS93" si="413">GP83/AD83</f>
        <v>0</v>
      </c>
      <c r="GT83" s="97"/>
      <c r="GU83" s="95"/>
      <c r="GV83" s="70">
        <f t="shared" si="343"/>
        <v>0</v>
      </c>
      <c r="GW83" s="89"/>
      <c r="GX83" s="89"/>
      <c r="GY83" s="97">
        <f t="shared" si="334"/>
        <v>0</v>
      </c>
      <c r="GZ83" s="889">
        <f t="shared" si="377"/>
        <v>0</v>
      </c>
      <c r="HA83" s="70"/>
      <c r="HB83" s="95"/>
      <c r="HC83" s="70"/>
      <c r="HD83" s="70"/>
      <c r="HE83" s="90" t="e">
        <f t="shared" si="345"/>
        <v>#DIV/0!</v>
      </c>
      <c r="HF83" s="326"/>
      <c r="HG83" s="70"/>
      <c r="HH83" s="91">
        <f t="shared" si="407"/>
        <v>0</v>
      </c>
      <c r="HI83" s="52">
        <f t="shared" si="346"/>
        <v>0</v>
      </c>
      <c r="HJ83" s="84">
        <f t="shared" si="115"/>
        <v>0</v>
      </c>
      <c r="HK83" s="91">
        <f t="shared" si="408"/>
        <v>0</v>
      </c>
      <c r="HL83" s="92">
        <v>6.31</v>
      </c>
      <c r="HM83" s="92"/>
      <c r="HN83" s="95"/>
      <c r="HO83" s="93"/>
      <c r="HP83" s="52">
        <f t="shared" si="409"/>
        <v>0</v>
      </c>
      <c r="HQ83" s="52"/>
      <c r="HR83" s="52">
        <f t="shared" si="410"/>
        <v>0</v>
      </c>
      <c r="HS83" s="52" t="e">
        <f t="shared" si="364"/>
        <v>#DIV/0!</v>
      </c>
      <c r="HT83" s="93"/>
      <c r="HU83" s="93"/>
      <c r="HV83" s="136"/>
      <c r="HW83" s="42">
        <f t="shared" si="365"/>
        <v>0</v>
      </c>
      <c r="HX83" s="293"/>
      <c r="HY83" s="293">
        <f t="shared" si="344"/>
        <v>0</v>
      </c>
      <c r="HZ83" s="341"/>
      <c r="IA83" s="339"/>
      <c r="IB83" s="339"/>
      <c r="IC83" s="269"/>
      <c r="ID83" s="269"/>
      <c r="IE83" s="491"/>
      <c r="IF83" s="278"/>
      <c r="IG83" s="290"/>
      <c r="IH83" s="278"/>
      <c r="II83" s="625"/>
      <c r="IJ83" s="295"/>
      <c r="IK83" s="300"/>
      <c r="IL83" s="298"/>
      <c r="IM83" s="298"/>
      <c r="IN83" s="292"/>
      <c r="IO83" s="293"/>
      <c r="IP83" s="292"/>
      <c r="IQ83" s="293"/>
      <c r="IR83" s="323"/>
      <c r="IS83" s="323"/>
      <c r="IT83" s="323"/>
      <c r="IU83" s="323"/>
      <c r="IV83" s="286"/>
      <c r="IW83" s="286"/>
      <c r="IX83" s="286"/>
      <c r="IY83" s="286"/>
      <c r="IZ83" s="286"/>
      <c r="JA83" s="286"/>
      <c r="JB83" s="297"/>
      <c r="JC83" s="122"/>
      <c r="JD83" s="295"/>
      <c r="JE83" s="122"/>
      <c r="JF83" s="122"/>
      <c r="JG83" s="295"/>
    </row>
    <row r="84" spans="1:267" ht="24.95" customHeight="1">
      <c r="A84" s="88" t="s">
        <v>734</v>
      </c>
      <c r="B84" s="56" t="s">
        <v>35</v>
      </c>
      <c r="C84" s="56" t="s">
        <v>113</v>
      </c>
      <c r="D84" s="56">
        <v>2019</v>
      </c>
      <c r="E84" s="56"/>
      <c r="F84" s="56"/>
      <c r="G84" s="56"/>
      <c r="H84" s="56"/>
      <c r="I84" s="56"/>
      <c r="J84" s="56" t="s">
        <v>735</v>
      </c>
      <c r="K84" s="272" t="s">
        <v>742</v>
      </c>
      <c r="L84" s="176"/>
      <c r="M84" s="177"/>
      <c r="N84" s="178"/>
      <c r="O84" s="217"/>
      <c r="P84" s="217"/>
      <c r="Q84" s="217"/>
      <c r="R84" s="217">
        <f t="shared" si="411"/>
        <v>0</v>
      </c>
      <c r="S84" s="217" t="e">
        <f t="shared" si="378"/>
        <v>#DIV/0!</v>
      </c>
      <c r="T84" s="223" t="e">
        <f t="shared" si="367"/>
        <v>#DIV/0!</v>
      </c>
      <c r="U84" s="223" t="e">
        <f t="shared" si="368"/>
        <v>#DIV/0!</v>
      </c>
      <c r="V84" s="223">
        <f t="shared" si="369"/>
        <v>0</v>
      </c>
      <c r="W84" s="217">
        <f t="shared" si="370"/>
        <v>0</v>
      </c>
      <c r="X84" s="218"/>
      <c r="Y84" s="226" t="e">
        <f t="shared" si="412"/>
        <v>#DIV/0!</v>
      </c>
      <c r="Z84" s="218"/>
      <c r="AA84" s="218"/>
      <c r="AB84" s="219"/>
      <c r="AC84" s="57" t="s">
        <v>480</v>
      </c>
      <c r="AD84" s="342">
        <f t="shared" si="380"/>
        <v>19</v>
      </c>
      <c r="AE84" s="67"/>
      <c r="AF84" s="119"/>
      <c r="AG84" s="56">
        <v>19</v>
      </c>
      <c r="AH84" s="119"/>
      <c r="AI84" s="60"/>
      <c r="AJ84" s="94"/>
      <c r="AK84" s="60"/>
      <c r="AL84" s="81"/>
      <c r="AM84" s="81"/>
      <c r="AN84" s="81"/>
      <c r="AO84" s="81"/>
      <c r="AP84" s="81"/>
      <c r="AQ84" s="60"/>
      <c r="AR84" s="79"/>
      <c r="AS84" s="81"/>
      <c r="AT84" s="60"/>
      <c r="AU84" s="56"/>
      <c r="AV84" s="56"/>
      <c r="AW84" s="194"/>
      <c r="AX84" s="56"/>
      <c r="AY84" s="114"/>
      <c r="AZ84" s="114"/>
      <c r="BA84" s="99"/>
      <c r="BB84" s="214"/>
      <c r="BC84" s="101"/>
      <c r="BD84" s="101"/>
      <c r="BE84" s="214"/>
      <c r="BF84" s="101"/>
      <c r="BG84" s="170"/>
      <c r="BH84" s="213"/>
      <c r="BI84" s="170"/>
      <c r="BJ84" s="170"/>
      <c r="BK84" s="102"/>
      <c r="BL84" s="198"/>
      <c r="BM84" s="198"/>
      <c r="BN84" s="198"/>
      <c r="BO84" s="170"/>
      <c r="BP84" s="175"/>
      <c r="BQ84" s="102"/>
      <c r="BR84" s="103"/>
      <c r="BS84" s="103"/>
      <c r="BT84" s="103"/>
      <c r="BU84" s="168"/>
      <c r="BV84" s="266"/>
      <c r="BW84" s="266"/>
      <c r="BX84" s="167"/>
      <c r="BY84" s="266"/>
      <c r="BZ84" s="266"/>
      <c r="CA84" s="266"/>
      <c r="CB84" s="266" t="s">
        <v>172</v>
      </c>
      <c r="CC84" s="781"/>
      <c r="CD84" s="615"/>
      <c r="CE84" s="452">
        <v>43647</v>
      </c>
      <c r="CF84" s="445"/>
      <c r="CG84" s="600">
        <f t="shared" si="381"/>
        <v>1454.9</v>
      </c>
      <c r="CH84" s="260">
        <v>16</v>
      </c>
      <c r="CI84" s="260">
        <f t="shared" si="382"/>
        <v>17</v>
      </c>
      <c r="CJ84" s="255">
        <f t="shared" si="383"/>
        <v>16</v>
      </c>
      <c r="CK84" s="255">
        <f t="shared" si="384"/>
        <v>17</v>
      </c>
      <c r="CL84" s="255">
        <f t="shared" si="385"/>
        <v>0</v>
      </c>
      <c r="CM84" s="255">
        <f t="shared" si="386"/>
        <v>0</v>
      </c>
      <c r="CN84" s="261"/>
      <c r="CO84" s="261">
        <f t="shared" si="387"/>
        <v>0</v>
      </c>
      <c r="CP84" s="256"/>
      <c r="CQ84" s="797">
        <f t="shared" si="388"/>
        <v>44136</v>
      </c>
      <c r="CR84" s="454">
        <f t="shared" si="371"/>
        <v>44136</v>
      </c>
      <c r="CS84" s="752">
        <f t="shared" si="372"/>
        <v>731</v>
      </c>
      <c r="CT84" s="256"/>
      <c r="CU84" s="883">
        <f t="shared" si="389"/>
        <v>0</v>
      </c>
      <c r="CV84" s="256"/>
      <c r="CW84" s="749">
        <f t="shared" si="350"/>
        <v>44166</v>
      </c>
      <c r="CX84" s="612">
        <f t="shared" si="373"/>
        <v>44166</v>
      </c>
      <c r="CY84" s="753"/>
      <c r="CZ84" s="122"/>
      <c r="DA84" s="125"/>
      <c r="DB84" s="125"/>
      <c r="DC84" s="125"/>
      <c r="DD84" s="125"/>
      <c r="DE84" s="125"/>
      <c r="DF84" s="56"/>
      <c r="DG84" s="296">
        <f t="shared" si="390"/>
        <v>44501</v>
      </c>
      <c r="DH84" s="56"/>
      <c r="DI84" s="56"/>
      <c r="DJ84" s="56"/>
      <c r="DK84" s="56"/>
      <c r="DL84" s="56"/>
      <c r="DM84" s="56"/>
      <c r="DN84" s="56"/>
      <c r="DO84" s="56"/>
      <c r="DP84" s="56"/>
      <c r="DQ84" s="56"/>
      <c r="DR84" s="56"/>
      <c r="DS84" s="56"/>
      <c r="DT84" s="713"/>
      <c r="DU84" s="713"/>
      <c r="DV84" s="713"/>
      <c r="DW84" s="715" t="str">
        <f t="shared" si="304"/>
        <v>0</v>
      </c>
      <c r="DX84" s="713"/>
      <c r="DY84" s="713"/>
      <c r="DZ84" s="715" t="str">
        <f t="shared" si="391"/>
        <v>0</v>
      </c>
      <c r="EA84" s="713"/>
      <c r="EB84" s="713"/>
      <c r="EC84" s="715" t="str">
        <f t="shared" si="392"/>
        <v>0</v>
      </c>
      <c r="ED84" s="713"/>
      <c r="EE84" s="713"/>
      <c r="EF84" s="715" t="str">
        <f t="shared" si="393"/>
        <v>0</v>
      </c>
      <c r="EG84" s="716"/>
      <c r="EH84" s="717"/>
      <c r="EI84" s="715" t="str">
        <f t="shared" si="394"/>
        <v>0</v>
      </c>
      <c r="EJ84" s="714"/>
      <c r="EK84" s="695"/>
      <c r="EL84" s="696"/>
      <c r="EM84" s="697" t="str">
        <f t="shared" si="395"/>
        <v>0</v>
      </c>
      <c r="EN84" s="695"/>
      <c r="EO84" s="696"/>
      <c r="EP84" s="697" t="str">
        <f t="shared" si="396"/>
        <v>0</v>
      </c>
      <c r="EQ84" s="695"/>
      <c r="ER84" s="696"/>
      <c r="ES84" s="697" t="str">
        <f t="shared" si="397"/>
        <v>0</v>
      </c>
      <c r="ET84" s="695"/>
      <c r="EU84" s="722"/>
      <c r="EV84" s="698" t="str">
        <f t="shared" si="398"/>
        <v>0</v>
      </c>
      <c r="EW84" s="699"/>
      <c r="EX84" s="700"/>
      <c r="EY84" s="697" t="str">
        <f t="shared" si="399"/>
        <v>0</v>
      </c>
      <c r="EZ84" s="696"/>
      <c r="FA84" s="701"/>
      <c r="FB84" s="697" t="str">
        <f t="shared" si="400"/>
        <v>0</v>
      </c>
      <c r="FC84" s="703"/>
      <c r="FD84" s="703"/>
      <c r="FE84" s="697" t="str">
        <f t="shared" si="401"/>
        <v>0</v>
      </c>
      <c r="FF84" s="703"/>
      <c r="FG84" s="703"/>
      <c r="FH84" s="697" t="str">
        <f t="shared" si="402"/>
        <v>0</v>
      </c>
      <c r="FI84" s="701"/>
      <c r="FJ84" s="701"/>
      <c r="FK84" s="697" t="str">
        <f t="shared" si="403"/>
        <v>0</v>
      </c>
      <c r="FL84" s="703"/>
      <c r="FM84" s="703"/>
      <c r="FN84" s="703"/>
      <c r="FO84" s="703"/>
      <c r="FP84" s="701">
        <f t="shared" si="404"/>
        <v>44136</v>
      </c>
      <c r="FQ84" s="699">
        <f t="shared" si="348"/>
        <v>0</v>
      </c>
      <c r="FR84" s="703"/>
      <c r="FS84" s="701">
        <f t="shared" si="405"/>
        <v>44166</v>
      </c>
      <c r="FT84" s="727"/>
      <c r="FU84" s="727"/>
      <c r="FV84" s="727"/>
      <c r="FW84" s="727"/>
      <c r="FX84" s="728">
        <f t="shared" si="406"/>
        <v>0</v>
      </c>
      <c r="FY84" s="728">
        <f t="shared" si="362"/>
        <v>1472.2</v>
      </c>
      <c r="FZ84" s="724"/>
      <c r="GA84" s="741"/>
      <c r="GB84" s="724"/>
      <c r="GC84" s="724"/>
      <c r="GD84" s="117"/>
      <c r="GE84" s="117"/>
      <c r="GF84" s="95">
        <f t="shared" si="374"/>
        <v>0</v>
      </c>
      <c r="GG84" s="70">
        <f t="shared" si="366"/>
        <v>0</v>
      </c>
      <c r="GH84" s="96">
        <f t="shared" si="328"/>
        <v>0</v>
      </c>
      <c r="GI84" s="52" t="e">
        <f t="shared" si="375"/>
        <v>#DIV/0!</v>
      </c>
      <c r="GJ84" s="52">
        <f t="shared" si="376"/>
        <v>0</v>
      </c>
      <c r="GK84" s="95"/>
      <c r="GL84" s="70"/>
      <c r="GM84" s="96">
        <f t="shared" si="331"/>
        <v>0</v>
      </c>
      <c r="GN84" s="136" t="e">
        <f t="shared" si="332"/>
        <v>#DIV/0!</v>
      </c>
      <c r="GO84" s="137">
        <v>0.4</v>
      </c>
      <c r="GP84" s="95"/>
      <c r="GQ84" s="70"/>
      <c r="GR84" s="70"/>
      <c r="GS84" s="52">
        <f t="shared" ref="GS84" si="414">GQ84/AD84</f>
        <v>0</v>
      </c>
      <c r="GT84" s="97"/>
      <c r="GU84" s="95"/>
      <c r="GV84" s="70">
        <f t="shared" si="343"/>
        <v>0</v>
      </c>
      <c r="GW84" s="89"/>
      <c r="GX84" s="89"/>
      <c r="GY84" s="97">
        <f t="shared" si="334"/>
        <v>0</v>
      </c>
      <c r="GZ84" s="889">
        <f t="shared" si="377"/>
        <v>0</v>
      </c>
      <c r="HA84" s="70"/>
      <c r="HB84" s="95"/>
      <c r="HC84" s="70"/>
      <c r="HD84" s="70"/>
      <c r="HE84" s="90" t="e">
        <f t="shared" si="345"/>
        <v>#DIV/0!</v>
      </c>
      <c r="HF84" s="326"/>
      <c r="HG84" s="70"/>
      <c r="HH84" s="91">
        <f t="shared" si="407"/>
        <v>0</v>
      </c>
      <c r="HI84" s="52">
        <f t="shared" si="346"/>
        <v>0</v>
      </c>
      <c r="HJ84" s="84">
        <f t="shared" si="115"/>
        <v>0</v>
      </c>
      <c r="HK84" s="91">
        <f t="shared" si="408"/>
        <v>0</v>
      </c>
      <c r="HL84" s="92">
        <v>6.31</v>
      </c>
      <c r="HM84" s="92"/>
      <c r="HN84" s="93"/>
      <c r="HO84" s="93"/>
      <c r="HP84" s="52">
        <f t="shared" si="409"/>
        <v>0</v>
      </c>
      <c r="HQ84" s="93"/>
      <c r="HR84" s="52">
        <f t="shared" si="410"/>
        <v>0</v>
      </c>
      <c r="HS84" s="53" t="e">
        <f t="shared" si="364"/>
        <v>#DIV/0!</v>
      </c>
      <c r="HT84" s="93"/>
      <c r="HU84" s="93"/>
      <c r="HV84" s="70"/>
      <c r="HW84" s="98">
        <f t="shared" si="365"/>
        <v>0</v>
      </c>
      <c r="HX84" s="293"/>
      <c r="HY84" s="293">
        <f t="shared" si="344"/>
        <v>0</v>
      </c>
      <c r="HZ84" s="294"/>
      <c r="IA84" s="297"/>
      <c r="IB84" s="297"/>
      <c r="IC84" s="269"/>
      <c r="ID84" s="269"/>
      <c r="IE84" s="491"/>
      <c r="IF84" s="278"/>
      <c r="IG84" s="290"/>
      <c r="IH84" s="278"/>
      <c r="II84" s="625"/>
      <c r="IJ84" s="295"/>
      <c r="IK84" s="300"/>
      <c r="IL84" s="298"/>
      <c r="IM84" s="298"/>
      <c r="IN84" s="292"/>
      <c r="IO84" s="293"/>
      <c r="IP84" s="292"/>
      <c r="IQ84" s="293"/>
      <c r="IR84" s="323"/>
      <c r="IS84" s="323"/>
      <c r="IT84" s="323"/>
      <c r="IU84" s="323"/>
      <c r="IV84" s="286"/>
      <c r="IW84" s="286"/>
      <c r="IX84" s="286"/>
      <c r="IY84" s="286"/>
      <c r="IZ84" s="286"/>
      <c r="JA84" s="286"/>
      <c r="JB84" s="297"/>
      <c r="JC84" s="122"/>
      <c r="JD84" s="295"/>
      <c r="JE84" s="122"/>
      <c r="JF84" s="288"/>
      <c r="JG84" s="295"/>
    </row>
    <row r="85" spans="1:267" ht="24.95" customHeight="1">
      <c r="A85" s="315" t="s">
        <v>507</v>
      </c>
      <c r="B85" s="56" t="s">
        <v>46</v>
      </c>
      <c r="C85" s="56" t="s">
        <v>113</v>
      </c>
      <c r="D85" s="56">
        <v>2019</v>
      </c>
      <c r="E85" s="56"/>
      <c r="F85" s="56" t="s">
        <v>488</v>
      </c>
      <c r="G85" s="56" t="s">
        <v>184</v>
      </c>
      <c r="H85" s="56" t="s">
        <v>455</v>
      </c>
      <c r="I85" s="56"/>
      <c r="J85" s="56" t="s">
        <v>517</v>
      </c>
      <c r="K85" s="272" t="s">
        <v>531</v>
      </c>
      <c r="L85" s="176" t="s">
        <v>46</v>
      </c>
      <c r="M85" s="177" t="s">
        <v>532</v>
      </c>
      <c r="N85" s="178">
        <v>39798</v>
      </c>
      <c r="O85" s="243"/>
      <c r="P85" s="243"/>
      <c r="Q85" s="243"/>
      <c r="R85" s="243"/>
      <c r="S85" s="243"/>
      <c r="T85" s="819"/>
      <c r="U85" s="819"/>
      <c r="V85" s="819"/>
      <c r="W85" s="243"/>
      <c r="X85" s="218"/>
      <c r="Y85" s="226" t="e">
        <f t="shared" si="412"/>
        <v>#DIV/0!</v>
      </c>
      <c r="Z85" s="218"/>
      <c r="AA85" s="218"/>
      <c r="AB85" s="219"/>
      <c r="AC85" s="56" t="s">
        <v>487</v>
      </c>
      <c r="AD85" s="342">
        <f t="shared" si="380"/>
        <v>16</v>
      </c>
      <c r="AE85" s="67"/>
      <c r="AF85" s="119"/>
      <c r="AG85" s="119"/>
      <c r="AH85" s="56">
        <v>16</v>
      </c>
      <c r="AI85" s="60"/>
      <c r="AJ85" s="94"/>
      <c r="AK85" s="10"/>
      <c r="AL85" s="81"/>
      <c r="AM85" s="81"/>
      <c r="AN85" s="81"/>
      <c r="AO85" s="81"/>
      <c r="AP85" s="81"/>
      <c r="AQ85" s="60"/>
      <c r="AR85" s="79"/>
      <c r="AS85" s="81"/>
      <c r="AT85" s="60"/>
      <c r="AU85" s="56"/>
      <c r="AV85" s="56"/>
      <c r="AW85" s="56"/>
      <c r="AX85" s="56"/>
      <c r="AY85" s="114"/>
      <c r="AZ85" s="114"/>
      <c r="BA85" s="99"/>
      <c r="BB85" s="214"/>
      <c r="BC85" s="101"/>
      <c r="BD85" s="101"/>
      <c r="BE85" s="214"/>
      <c r="BF85" s="101"/>
      <c r="BG85" s="170"/>
      <c r="BH85" s="213"/>
      <c r="BI85" s="170"/>
      <c r="BJ85" s="170"/>
      <c r="BK85" s="102"/>
      <c r="BL85" s="198">
        <f t="shared" ref="BL85:BL91" si="415">DATE(YEAR(BK85),MONTH(BK85)+24,DAY(BK85))</f>
        <v>731</v>
      </c>
      <c r="BM85" s="198">
        <f t="shared" ref="BM85:BM91" si="416">DATE(YEAR(BK85),MONTH(BK85)+36,DAY(BK85))</f>
        <v>1096</v>
      </c>
      <c r="BN85" s="198"/>
      <c r="BO85" s="170"/>
      <c r="BP85" s="175"/>
      <c r="BQ85" s="102"/>
      <c r="BR85" s="103"/>
      <c r="BS85" s="103"/>
      <c r="BT85" s="103"/>
      <c r="BU85" s="168"/>
      <c r="BV85" s="266"/>
      <c r="BW85" s="266"/>
      <c r="BX85" s="167"/>
      <c r="BY85" s="266"/>
      <c r="BZ85" s="266"/>
      <c r="CA85" s="266"/>
      <c r="CB85" s="517"/>
      <c r="CC85" s="517"/>
      <c r="CD85" s="615"/>
      <c r="CE85" s="452">
        <v>43753</v>
      </c>
      <c r="CF85" s="445"/>
      <c r="CG85" s="600">
        <f t="shared" si="381"/>
        <v>1458.4333333333334</v>
      </c>
      <c r="CH85" s="260">
        <v>12</v>
      </c>
      <c r="CI85" s="260">
        <f t="shared" si="382"/>
        <v>13</v>
      </c>
      <c r="CJ85" s="255">
        <f t="shared" si="383"/>
        <v>13</v>
      </c>
      <c r="CK85" s="255">
        <f t="shared" si="384"/>
        <v>15</v>
      </c>
      <c r="CL85" s="255">
        <f t="shared" si="385"/>
        <v>1</v>
      </c>
      <c r="CM85" s="255">
        <f t="shared" si="386"/>
        <v>2</v>
      </c>
      <c r="CN85" s="261"/>
      <c r="CO85" s="261">
        <f t="shared" si="387"/>
        <v>0</v>
      </c>
      <c r="CP85" s="256"/>
      <c r="CQ85" s="797">
        <f t="shared" si="388"/>
        <v>44119</v>
      </c>
      <c r="CR85" s="513">
        <f t="shared" ref="CR85:CR91" si="417">DATE(YEAR(CE85),MONTH(CE85)+CH85+1,DAY(CE85))</f>
        <v>44150</v>
      </c>
      <c r="CS85" s="626"/>
      <c r="CT85" s="196"/>
      <c r="CU85" s="882">
        <f t="shared" si="389"/>
        <v>0</v>
      </c>
      <c r="CV85" s="196"/>
      <c r="CW85" s="749">
        <f t="shared" si="350"/>
        <v>44180</v>
      </c>
      <c r="CX85" s="513">
        <f t="shared" ref="CX85:CX91" si="418">DATE(YEAR(CW85),MONTH(CW85)+1,DAY(CW85))</f>
        <v>44211</v>
      </c>
      <c r="CY85" s="565"/>
      <c r="CZ85" s="122"/>
      <c r="DA85" s="125"/>
      <c r="DB85" s="125"/>
      <c r="DC85" s="125"/>
      <c r="DD85" s="125"/>
      <c r="DE85" s="125"/>
      <c r="DF85" s="56"/>
      <c r="DG85" s="296">
        <f t="shared" si="390"/>
        <v>44515</v>
      </c>
      <c r="DH85" s="56"/>
      <c r="DI85" s="56"/>
      <c r="DJ85" s="56"/>
      <c r="DK85" s="56"/>
      <c r="DL85" s="56"/>
      <c r="DM85" s="56"/>
      <c r="DN85" s="56"/>
      <c r="DO85" s="56"/>
      <c r="DP85" s="56"/>
      <c r="DQ85" s="56"/>
      <c r="DR85" s="56"/>
      <c r="DS85" s="56"/>
      <c r="DT85" s="710"/>
      <c r="DU85" s="711"/>
      <c r="DV85" s="711"/>
      <c r="DW85" s="712"/>
      <c r="DX85" s="713"/>
      <c r="DY85" s="713"/>
      <c r="DZ85" s="715" t="str">
        <f t="shared" si="391"/>
        <v>0</v>
      </c>
      <c r="EA85" s="716"/>
      <c r="EB85" s="710"/>
      <c r="EC85" s="715" t="str">
        <f t="shared" si="392"/>
        <v>0</v>
      </c>
      <c r="ED85" s="716"/>
      <c r="EE85" s="710"/>
      <c r="EF85" s="715" t="str">
        <f t="shared" si="393"/>
        <v>0</v>
      </c>
      <c r="EG85" s="716"/>
      <c r="EH85" s="717"/>
      <c r="EI85" s="715" t="str">
        <f t="shared" si="394"/>
        <v>0</v>
      </c>
      <c r="EJ85" s="718"/>
      <c r="EK85" s="695"/>
      <c r="EL85" s="696"/>
      <c r="EM85" s="697" t="str">
        <f t="shared" si="395"/>
        <v>0</v>
      </c>
      <c r="EN85" s="695"/>
      <c r="EO85" s="696"/>
      <c r="EP85" s="697" t="str">
        <f t="shared" si="396"/>
        <v>0</v>
      </c>
      <c r="EQ85" s="695"/>
      <c r="ER85" s="696"/>
      <c r="ES85" s="697" t="str">
        <f t="shared" si="397"/>
        <v>0</v>
      </c>
      <c r="ET85" s="695"/>
      <c r="EU85" s="722"/>
      <c r="EV85" s="698" t="str">
        <f t="shared" si="398"/>
        <v>0</v>
      </c>
      <c r="EW85" s="699"/>
      <c r="EX85" s="700"/>
      <c r="EY85" s="697" t="str">
        <f t="shared" si="399"/>
        <v>0</v>
      </c>
      <c r="EZ85" s="696"/>
      <c r="FA85" s="701"/>
      <c r="FB85" s="697" t="str">
        <f t="shared" si="400"/>
        <v>0</v>
      </c>
      <c r="FC85" s="703"/>
      <c r="FD85" s="703"/>
      <c r="FE85" s="697" t="str">
        <f t="shared" si="401"/>
        <v>0</v>
      </c>
      <c r="FF85" s="703"/>
      <c r="FG85" s="703"/>
      <c r="FH85" s="697" t="str">
        <f t="shared" si="402"/>
        <v>0</v>
      </c>
      <c r="FI85" s="703"/>
      <c r="FJ85" s="703"/>
      <c r="FK85" s="697" t="str">
        <f t="shared" si="403"/>
        <v>0</v>
      </c>
      <c r="FL85" s="703"/>
      <c r="FM85" s="703"/>
      <c r="FN85" s="703"/>
      <c r="FO85" s="703"/>
      <c r="FP85" s="701">
        <f t="shared" si="404"/>
        <v>44150</v>
      </c>
      <c r="FQ85" s="699">
        <f t="shared" si="348"/>
        <v>0</v>
      </c>
      <c r="FR85" s="703"/>
      <c r="FS85" s="701">
        <f t="shared" si="405"/>
        <v>44211</v>
      </c>
      <c r="FT85" s="727"/>
      <c r="FU85" s="727"/>
      <c r="FV85" s="727"/>
      <c r="FW85" s="727"/>
      <c r="FX85" s="728">
        <f t="shared" si="406"/>
        <v>0</v>
      </c>
      <c r="FY85" s="728">
        <f t="shared" si="362"/>
        <v>1473.7</v>
      </c>
      <c r="FZ85" s="724"/>
      <c r="GA85" s="741"/>
      <c r="GB85" s="724"/>
      <c r="GC85" s="724"/>
      <c r="GD85" s="117"/>
      <c r="GE85" s="117"/>
      <c r="GF85" s="493">
        <f t="shared" si="374"/>
        <v>5522950</v>
      </c>
      <c r="GG85" s="493"/>
      <c r="GH85" s="493">
        <f t="shared" si="328"/>
        <v>-5522950</v>
      </c>
      <c r="GI85" s="493" t="e">
        <f t="shared" si="375"/>
        <v>#DIV/0!</v>
      </c>
      <c r="GJ85" s="493">
        <f t="shared" si="376"/>
        <v>0</v>
      </c>
      <c r="GK85" s="493"/>
      <c r="GL85" s="493"/>
      <c r="GM85" s="493">
        <f t="shared" si="331"/>
        <v>0</v>
      </c>
      <c r="GN85" s="111" t="e">
        <f t="shared" si="332"/>
        <v>#DIV/0!</v>
      </c>
      <c r="GO85" s="111">
        <v>0.4</v>
      </c>
      <c r="GP85" s="493">
        <v>1883035</v>
      </c>
      <c r="GQ85" s="493"/>
      <c r="GR85" s="493"/>
      <c r="GS85" s="493">
        <f t="shared" si="413"/>
        <v>117689.6875</v>
      </c>
      <c r="GT85" s="493"/>
      <c r="GU85" s="493">
        <v>3389915</v>
      </c>
      <c r="GV85" s="493"/>
      <c r="GW85" s="493"/>
      <c r="GX85" s="493"/>
      <c r="GY85" s="493">
        <f t="shared" si="334"/>
        <v>-3389915</v>
      </c>
      <c r="GZ85" s="893">
        <f t="shared" si="377"/>
        <v>0</v>
      </c>
      <c r="HA85" s="493"/>
      <c r="HB85" s="493">
        <v>250000</v>
      </c>
      <c r="HC85" s="493"/>
      <c r="HD85" s="493"/>
      <c r="HE85" s="495" t="e">
        <f t="shared" si="345"/>
        <v>#DIV/0!</v>
      </c>
      <c r="HF85" s="500"/>
      <c r="HG85" s="493"/>
      <c r="HH85" s="493">
        <f t="shared" si="407"/>
        <v>-250000</v>
      </c>
      <c r="HI85" s="493">
        <f t="shared" si="346"/>
        <v>0</v>
      </c>
      <c r="HJ85" s="496">
        <f t="shared" si="115"/>
        <v>0</v>
      </c>
      <c r="HK85" s="493">
        <f t="shared" si="408"/>
        <v>-15625</v>
      </c>
      <c r="HL85" s="497">
        <v>6.31</v>
      </c>
      <c r="HM85" s="497"/>
      <c r="HN85" s="493"/>
      <c r="HO85" s="493"/>
      <c r="HP85" s="493">
        <f t="shared" si="409"/>
        <v>133314.6875</v>
      </c>
      <c r="HQ85" s="493"/>
      <c r="HR85" s="493">
        <f t="shared" si="410"/>
        <v>0</v>
      </c>
      <c r="HS85" s="111">
        <f t="shared" si="364"/>
        <v>0.38621298400311427</v>
      </c>
      <c r="HT85" s="493"/>
      <c r="HU85" s="493"/>
      <c r="HV85" s="493"/>
      <c r="HW85" s="498">
        <f t="shared" si="365"/>
        <v>5522950</v>
      </c>
      <c r="HX85" s="293"/>
      <c r="HY85" s="293">
        <f t="shared" si="344"/>
        <v>0</v>
      </c>
      <c r="HZ85" s="294"/>
      <c r="IA85" s="297">
        <v>0</v>
      </c>
      <c r="IB85" s="297"/>
      <c r="IC85" s="269"/>
      <c r="ID85" s="269"/>
      <c r="IE85" s="491">
        <v>0</v>
      </c>
      <c r="IF85" s="278"/>
      <c r="IG85" s="290">
        <v>0</v>
      </c>
      <c r="IH85" s="278"/>
      <c r="II85" s="625"/>
      <c r="IJ85" s="295"/>
      <c r="IK85" s="300"/>
      <c r="IL85" s="298"/>
      <c r="IM85" s="298"/>
      <c r="IN85" s="292"/>
      <c r="IO85" s="293"/>
      <c r="IP85" s="292"/>
      <c r="IQ85" s="293"/>
      <c r="IR85" s="323"/>
      <c r="IS85" s="323"/>
      <c r="IT85" s="323"/>
      <c r="IU85" s="323"/>
      <c r="IV85" s="286"/>
      <c r="IW85" s="286"/>
      <c r="IX85" s="286"/>
      <c r="IY85" s="286"/>
      <c r="IZ85" s="286"/>
      <c r="JA85" s="286"/>
      <c r="JB85" s="297" t="e">
        <f t="shared" ref="JB85:JB91" si="419">$JB$1*HX85</f>
        <v>#VALUE!</v>
      </c>
      <c r="JC85" s="122"/>
      <c r="JD85" s="295"/>
      <c r="JE85" s="122"/>
      <c r="JF85" s="122"/>
      <c r="JG85" s="295"/>
    </row>
    <row r="86" spans="1:267" ht="24.95" customHeight="1">
      <c r="A86" s="315" t="s">
        <v>506</v>
      </c>
      <c r="B86" s="56" t="s">
        <v>35</v>
      </c>
      <c r="C86" s="56" t="s">
        <v>113</v>
      </c>
      <c r="D86" s="56">
        <v>2019</v>
      </c>
      <c r="E86" s="56"/>
      <c r="F86" s="56" t="s">
        <v>488</v>
      </c>
      <c r="G86" s="56" t="s">
        <v>184</v>
      </c>
      <c r="H86" s="56" t="s">
        <v>455</v>
      </c>
      <c r="I86" s="56"/>
      <c r="J86" s="56" t="s">
        <v>534</v>
      </c>
      <c r="K86" s="272" t="s">
        <v>520</v>
      </c>
      <c r="L86" s="176" t="s">
        <v>64</v>
      </c>
      <c r="M86" s="177" t="s">
        <v>533</v>
      </c>
      <c r="N86" s="178">
        <v>35571</v>
      </c>
      <c r="O86" s="243"/>
      <c r="P86" s="243"/>
      <c r="Q86" s="243"/>
      <c r="R86" s="243"/>
      <c r="S86" s="243"/>
      <c r="T86" s="819"/>
      <c r="U86" s="819"/>
      <c r="V86" s="819"/>
      <c r="W86" s="243"/>
      <c r="X86" s="218"/>
      <c r="Y86" s="226" t="e">
        <f t="shared" si="412"/>
        <v>#DIV/0!</v>
      </c>
      <c r="Z86" s="218"/>
      <c r="AA86" s="218"/>
      <c r="AB86" s="219"/>
      <c r="AC86" s="56" t="s">
        <v>487</v>
      </c>
      <c r="AD86" s="342">
        <f t="shared" si="380"/>
        <v>38</v>
      </c>
      <c r="AE86" s="67"/>
      <c r="AF86" s="119"/>
      <c r="AG86" s="119"/>
      <c r="AH86" s="203">
        <v>38</v>
      </c>
      <c r="AI86" s="60"/>
      <c r="AJ86" s="94"/>
      <c r="AK86" s="10"/>
      <c r="AL86" s="81"/>
      <c r="AM86" s="81"/>
      <c r="AN86" s="81"/>
      <c r="AO86" s="81"/>
      <c r="AP86" s="81"/>
      <c r="AQ86" s="60"/>
      <c r="AR86" s="79"/>
      <c r="AS86" s="81"/>
      <c r="AT86" s="60"/>
      <c r="AU86" s="56"/>
      <c r="AV86" s="56"/>
      <c r="AW86" s="56"/>
      <c r="AX86" s="56"/>
      <c r="AY86" s="114"/>
      <c r="AZ86" s="114"/>
      <c r="BA86" s="99"/>
      <c r="BB86" s="214"/>
      <c r="BC86" s="101"/>
      <c r="BD86" s="101"/>
      <c r="BE86" s="214"/>
      <c r="BF86" s="101"/>
      <c r="BG86" s="170"/>
      <c r="BH86" s="213"/>
      <c r="BI86" s="170"/>
      <c r="BJ86" s="170"/>
      <c r="BK86" s="102"/>
      <c r="BL86" s="198">
        <f t="shared" si="415"/>
        <v>731</v>
      </c>
      <c r="BM86" s="198">
        <f t="shared" si="416"/>
        <v>1096</v>
      </c>
      <c r="BN86" s="198"/>
      <c r="BO86" s="170"/>
      <c r="BP86" s="175"/>
      <c r="BQ86" s="102"/>
      <c r="BR86" s="103"/>
      <c r="BS86" s="103"/>
      <c r="BT86" s="103"/>
      <c r="BU86" s="168"/>
      <c r="BV86" s="266"/>
      <c r="BW86" s="266"/>
      <c r="BX86" s="167"/>
      <c r="BY86" s="266"/>
      <c r="BZ86" s="266"/>
      <c r="CA86" s="266"/>
      <c r="CB86" s="517"/>
      <c r="CC86" s="517"/>
      <c r="CD86" s="615"/>
      <c r="CE86" s="452">
        <v>43845</v>
      </c>
      <c r="CF86" s="445"/>
      <c r="CG86" s="600">
        <f t="shared" si="381"/>
        <v>1461.5</v>
      </c>
      <c r="CH86" s="260">
        <v>12</v>
      </c>
      <c r="CI86" s="260">
        <f t="shared" si="382"/>
        <v>13</v>
      </c>
      <c r="CJ86" s="255">
        <f t="shared" si="383"/>
        <v>13</v>
      </c>
      <c r="CK86" s="255">
        <f t="shared" si="384"/>
        <v>15</v>
      </c>
      <c r="CL86" s="255">
        <f t="shared" si="385"/>
        <v>1</v>
      </c>
      <c r="CM86" s="255">
        <f t="shared" si="386"/>
        <v>2</v>
      </c>
      <c r="CN86" s="261"/>
      <c r="CO86" s="261">
        <f t="shared" si="387"/>
        <v>0</v>
      </c>
      <c r="CP86" s="256"/>
      <c r="CQ86" s="797">
        <f t="shared" si="388"/>
        <v>44211</v>
      </c>
      <c r="CR86" s="513">
        <f t="shared" si="417"/>
        <v>44242</v>
      </c>
      <c r="CS86" s="626"/>
      <c r="CT86" s="196"/>
      <c r="CU86" s="882">
        <f t="shared" si="389"/>
        <v>0</v>
      </c>
      <c r="CV86" s="196"/>
      <c r="CW86" s="749">
        <f t="shared" si="350"/>
        <v>44270</v>
      </c>
      <c r="CX86" s="513">
        <f t="shared" si="418"/>
        <v>44301</v>
      </c>
      <c r="CY86" s="565"/>
      <c r="CZ86" s="122"/>
      <c r="DA86" s="125"/>
      <c r="DB86" s="125"/>
      <c r="DC86" s="125"/>
      <c r="DD86" s="125"/>
      <c r="DE86" s="125"/>
      <c r="DF86" s="56"/>
      <c r="DG86" s="296">
        <f t="shared" si="390"/>
        <v>44607</v>
      </c>
      <c r="DH86" s="56"/>
      <c r="DI86" s="56"/>
      <c r="DJ86" s="56"/>
      <c r="DK86" s="56"/>
      <c r="DL86" s="56"/>
      <c r="DM86" s="56"/>
      <c r="DN86" s="56"/>
      <c r="DO86" s="56"/>
      <c r="DP86" s="56"/>
      <c r="DQ86" s="56"/>
      <c r="DR86" s="56"/>
      <c r="DS86" s="56"/>
      <c r="DT86" s="710"/>
      <c r="DU86" s="711"/>
      <c r="DV86" s="711"/>
      <c r="DW86" s="715" t="str">
        <f t="shared" ref="DW86:DW101" si="420">IF(AND(DU86&gt;0,DV86&gt;0),DV86-DU86,"0")</f>
        <v>0</v>
      </c>
      <c r="DX86" s="713"/>
      <c r="DY86" s="713"/>
      <c r="DZ86" s="715" t="str">
        <f t="shared" si="391"/>
        <v>0</v>
      </c>
      <c r="EA86" s="716"/>
      <c r="EB86" s="710"/>
      <c r="EC86" s="715" t="str">
        <f t="shared" si="392"/>
        <v>0</v>
      </c>
      <c r="ED86" s="716"/>
      <c r="EE86" s="710"/>
      <c r="EF86" s="715" t="str">
        <f t="shared" si="393"/>
        <v>0</v>
      </c>
      <c r="EG86" s="716"/>
      <c r="EH86" s="717"/>
      <c r="EI86" s="715" t="str">
        <f t="shared" si="394"/>
        <v>0</v>
      </c>
      <c r="EJ86" s="718"/>
      <c r="EK86" s="695"/>
      <c r="EL86" s="696"/>
      <c r="EM86" s="697" t="str">
        <f t="shared" si="395"/>
        <v>0</v>
      </c>
      <c r="EN86" s="695"/>
      <c r="EO86" s="696"/>
      <c r="EP86" s="697" t="str">
        <f t="shared" si="396"/>
        <v>0</v>
      </c>
      <c r="EQ86" s="695"/>
      <c r="ER86" s="696"/>
      <c r="ES86" s="697" t="str">
        <f t="shared" si="397"/>
        <v>0</v>
      </c>
      <c r="ET86" s="695"/>
      <c r="EU86" s="722"/>
      <c r="EV86" s="698" t="str">
        <f t="shared" si="398"/>
        <v>0</v>
      </c>
      <c r="EW86" s="699"/>
      <c r="EX86" s="700"/>
      <c r="EY86" s="697" t="str">
        <f t="shared" si="399"/>
        <v>0</v>
      </c>
      <c r="EZ86" s="696"/>
      <c r="FA86" s="701"/>
      <c r="FB86" s="697" t="str">
        <f t="shared" si="400"/>
        <v>0</v>
      </c>
      <c r="FC86" s="703"/>
      <c r="FD86" s="703"/>
      <c r="FE86" s="697" t="str">
        <f t="shared" si="401"/>
        <v>0</v>
      </c>
      <c r="FF86" s="703"/>
      <c r="FG86" s="703"/>
      <c r="FH86" s="697" t="str">
        <f t="shared" si="402"/>
        <v>0</v>
      </c>
      <c r="FI86" s="703"/>
      <c r="FJ86" s="703"/>
      <c r="FK86" s="697" t="str">
        <f t="shared" si="403"/>
        <v>0</v>
      </c>
      <c r="FL86" s="703"/>
      <c r="FM86" s="703"/>
      <c r="FN86" s="703"/>
      <c r="FO86" s="703"/>
      <c r="FP86" s="701">
        <f t="shared" si="404"/>
        <v>44242</v>
      </c>
      <c r="FQ86" s="699">
        <f t="shared" si="348"/>
        <v>0</v>
      </c>
      <c r="FR86" s="703"/>
      <c r="FS86" s="701">
        <f t="shared" si="405"/>
        <v>44301</v>
      </c>
      <c r="FT86" s="727"/>
      <c r="FU86" s="727"/>
      <c r="FV86" s="727"/>
      <c r="FW86" s="727"/>
      <c r="FX86" s="728">
        <f t="shared" si="406"/>
        <v>0</v>
      </c>
      <c r="FY86" s="728">
        <f t="shared" si="362"/>
        <v>1476.7</v>
      </c>
      <c r="FZ86" s="724"/>
      <c r="GA86" s="741"/>
      <c r="GB86" s="724"/>
      <c r="GC86" s="724"/>
      <c r="GD86" s="117"/>
      <c r="GE86" s="117"/>
      <c r="GF86" s="493">
        <f t="shared" si="374"/>
        <v>5522950</v>
      </c>
      <c r="GG86" s="493"/>
      <c r="GH86" s="493">
        <f t="shared" si="328"/>
        <v>-5522950</v>
      </c>
      <c r="GI86" s="493" t="e">
        <f t="shared" si="375"/>
        <v>#DIV/0!</v>
      </c>
      <c r="GJ86" s="493">
        <f t="shared" si="376"/>
        <v>0</v>
      </c>
      <c r="GK86" s="493"/>
      <c r="GL86" s="493"/>
      <c r="GM86" s="493">
        <f t="shared" si="331"/>
        <v>0</v>
      </c>
      <c r="GN86" s="111" t="e">
        <f t="shared" si="332"/>
        <v>#DIV/0!</v>
      </c>
      <c r="GO86" s="111">
        <v>0.4</v>
      </c>
      <c r="GP86" s="493">
        <v>1883035</v>
      </c>
      <c r="GQ86" s="493"/>
      <c r="GR86" s="493"/>
      <c r="GS86" s="493">
        <f t="shared" si="413"/>
        <v>49553.552631578947</v>
      </c>
      <c r="GT86" s="493"/>
      <c r="GU86" s="493">
        <v>3389915</v>
      </c>
      <c r="GV86" s="493">
        <f t="shared" ref="GV86:GV93" si="421">GW86+GX86</f>
        <v>0</v>
      </c>
      <c r="GW86" s="493"/>
      <c r="GX86" s="493"/>
      <c r="GY86" s="493">
        <f t="shared" si="334"/>
        <v>-3389915</v>
      </c>
      <c r="GZ86" s="893">
        <f t="shared" si="377"/>
        <v>0</v>
      </c>
      <c r="HA86" s="493"/>
      <c r="HB86" s="493">
        <v>250000</v>
      </c>
      <c r="HC86" s="493"/>
      <c r="HD86" s="493"/>
      <c r="HE86" s="500" t="e">
        <f t="shared" si="345"/>
        <v>#DIV/0!</v>
      </c>
      <c r="HF86" s="500"/>
      <c r="HG86" s="493"/>
      <c r="HH86" s="493">
        <f t="shared" si="407"/>
        <v>-250000</v>
      </c>
      <c r="HI86" s="493">
        <f t="shared" si="346"/>
        <v>0</v>
      </c>
      <c r="HJ86" s="496">
        <f t="shared" si="115"/>
        <v>0</v>
      </c>
      <c r="HK86" s="493">
        <f t="shared" si="408"/>
        <v>-6578.9473684210525</v>
      </c>
      <c r="HL86" s="497">
        <v>6.31</v>
      </c>
      <c r="HM86" s="497"/>
      <c r="HN86" s="493"/>
      <c r="HO86" s="493"/>
      <c r="HP86" s="493">
        <f t="shared" si="409"/>
        <v>56132.5</v>
      </c>
      <c r="HQ86" s="493"/>
      <c r="HR86" s="493">
        <f t="shared" si="410"/>
        <v>0</v>
      </c>
      <c r="HS86" s="111">
        <f t="shared" si="364"/>
        <v>0.38621298400311427</v>
      </c>
      <c r="HT86" s="493"/>
      <c r="HU86" s="493"/>
      <c r="HV86" s="493"/>
      <c r="HW86" s="498">
        <f t="shared" si="365"/>
        <v>5522950</v>
      </c>
      <c r="HX86" s="293"/>
      <c r="HY86" s="293">
        <f t="shared" si="344"/>
        <v>0</v>
      </c>
      <c r="HZ86" s="294"/>
      <c r="IA86" s="297">
        <v>0</v>
      </c>
      <c r="IB86" s="297"/>
      <c r="IC86" s="269"/>
      <c r="ID86" s="269"/>
      <c r="IE86" s="491">
        <v>0</v>
      </c>
      <c r="IF86" s="278"/>
      <c r="IG86" s="290">
        <v>0</v>
      </c>
      <c r="IH86" s="278"/>
      <c r="II86" s="625"/>
      <c r="IJ86" s="295"/>
      <c r="IK86" s="300"/>
      <c r="IL86" s="298"/>
      <c r="IM86" s="298"/>
      <c r="IN86" s="292"/>
      <c r="IO86" s="293"/>
      <c r="IP86" s="292"/>
      <c r="IQ86" s="293"/>
      <c r="IR86" s="323"/>
      <c r="IS86" s="323"/>
      <c r="IT86" s="323"/>
      <c r="IU86" s="323"/>
      <c r="IV86" s="286"/>
      <c r="IW86" s="286"/>
      <c r="IX86" s="286"/>
      <c r="IY86" s="286"/>
      <c r="IZ86" s="286"/>
      <c r="JA86" s="286"/>
      <c r="JB86" s="297" t="e">
        <f t="shared" si="419"/>
        <v>#VALUE!</v>
      </c>
      <c r="JC86" s="122"/>
      <c r="JD86" s="295"/>
      <c r="JE86" s="122"/>
      <c r="JF86" s="122"/>
      <c r="JG86" s="295"/>
    </row>
    <row r="87" spans="1:267" ht="50.25" customHeight="1">
      <c r="A87" s="315" t="s">
        <v>511</v>
      </c>
      <c r="B87" s="56" t="s">
        <v>28</v>
      </c>
      <c r="C87" s="56" t="s">
        <v>113</v>
      </c>
      <c r="D87" s="56">
        <v>2019</v>
      </c>
      <c r="E87" s="56"/>
      <c r="F87" s="56" t="s">
        <v>488</v>
      </c>
      <c r="G87" s="56" t="s">
        <v>184</v>
      </c>
      <c r="H87" s="56" t="s">
        <v>455</v>
      </c>
      <c r="I87" s="56"/>
      <c r="J87" s="56" t="s">
        <v>539</v>
      </c>
      <c r="K87" s="272" t="s">
        <v>537</v>
      </c>
      <c r="L87" s="176" t="s">
        <v>64</v>
      </c>
      <c r="M87" s="328" t="s">
        <v>535</v>
      </c>
      <c r="N87" s="329" t="s">
        <v>536</v>
      </c>
      <c r="O87" s="243"/>
      <c r="P87" s="243"/>
      <c r="Q87" s="243"/>
      <c r="R87" s="243"/>
      <c r="S87" s="243"/>
      <c r="T87" s="819"/>
      <c r="U87" s="819"/>
      <c r="V87" s="819"/>
      <c r="W87" s="243"/>
      <c r="X87" s="218"/>
      <c r="Y87" s="226" t="e">
        <f t="shared" si="412"/>
        <v>#DIV/0!</v>
      </c>
      <c r="Z87" s="218"/>
      <c r="AA87" s="218"/>
      <c r="AB87" s="219"/>
      <c r="AC87" s="56" t="s">
        <v>487</v>
      </c>
      <c r="AD87" s="342">
        <f t="shared" si="380"/>
        <v>30</v>
      </c>
      <c r="AE87" s="67"/>
      <c r="AF87" s="119"/>
      <c r="AG87" s="119"/>
      <c r="AH87" s="203">
        <v>30</v>
      </c>
      <c r="AI87" s="60"/>
      <c r="AJ87" s="94"/>
      <c r="AK87" s="60"/>
      <c r="AL87" s="81"/>
      <c r="AM87" s="81"/>
      <c r="AN87" s="81"/>
      <c r="AO87" s="81"/>
      <c r="AP87" s="81"/>
      <c r="AQ87" s="60"/>
      <c r="AR87" s="79"/>
      <c r="AS87" s="81"/>
      <c r="AT87" s="60"/>
      <c r="AU87" s="56"/>
      <c r="AV87" s="56"/>
      <c r="AW87" s="56"/>
      <c r="AX87" s="56"/>
      <c r="AY87" s="114"/>
      <c r="AZ87" s="114"/>
      <c r="BA87" s="99"/>
      <c r="BB87" s="214"/>
      <c r="BC87" s="101"/>
      <c r="BD87" s="101"/>
      <c r="BE87" s="214"/>
      <c r="BF87" s="101"/>
      <c r="BG87" s="170"/>
      <c r="BH87" s="213"/>
      <c r="BI87" s="170"/>
      <c r="BJ87" s="170"/>
      <c r="BK87" s="102"/>
      <c r="BL87" s="198">
        <f t="shared" si="415"/>
        <v>731</v>
      </c>
      <c r="BM87" s="198">
        <f t="shared" si="416"/>
        <v>1096</v>
      </c>
      <c r="BN87" s="198"/>
      <c r="BO87" s="170"/>
      <c r="BP87" s="175"/>
      <c r="BQ87" s="102"/>
      <c r="BR87" s="103"/>
      <c r="BS87" s="103"/>
      <c r="BT87" s="103"/>
      <c r="BU87" s="168"/>
      <c r="BV87" s="266"/>
      <c r="BW87" s="266"/>
      <c r="BX87" s="167"/>
      <c r="BY87" s="266"/>
      <c r="BZ87" s="266"/>
      <c r="CA87" s="266"/>
      <c r="CB87" s="517"/>
      <c r="CC87" s="517"/>
      <c r="CD87" s="615"/>
      <c r="CE87" s="452">
        <v>43845</v>
      </c>
      <c r="CF87" s="445"/>
      <c r="CG87" s="600">
        <f t="shared" si="381"/>
        <v>1461.5</v>
      </c>
      <c r="CH87" s="260">
        <v>12</v>
      </c>
      <c r="CI87" s="260">
        <f t="shared" si="382"/>
        <v>13</v>
      </c>
      <c r="CJ87" s="255">
        <f t="shared" si="383"/>
        <v>13</v>
      </c>
      <c r="CK87" s="255">
        <f t="shared" si="384"/>
        <v>15</v>
      </c>
      <c r="CL87" s="255">
        <f t="shared" si="385"/>
        <v>1</v>
      </c>
      <c r="CM87" s="255">
        <f t="shared" si="386"/>
        <v>2</v>
      </c>
      <c r="CN87" s="261"/>
      <c r="CO87" s="261">
        <f t="shared" si="387"/>
        <v>0</v>
      </c>
      <c r="CP87" s="256"/>
      <c r="CQ87" s="797">
        <f t="shared" si="388"/>
        <v>44211</v>
      </c>
      <c r="CR87" s="513">
        <f t="shared" si="417"/>
        <v>44242</v>
      </c>
      <c r="CS87" s="626"/>
      <c r="CT87" s="196"/>
      <c r="CU87" s="882">
        <f t="shared" si="389"/>
        <v>0</v>
      </c>
      <c r="CV87" s="196"/>
      <c r="CW87" s="749">
        <f t="shared" si="350"/>
        <v>44270</v>
      </c>
      <c r="CX87" s="513">
        <f t="shared" si="418"/>
        <v>44301</v>
      </c>
      <c r="CY87" s="565"/>
      <c r="CZ87" s="122"/>
      <c r="DA87" s="125"/>
      <c r="DB87" s="125"/>
      <c r="DC87" s="125"/>
      <c r="DD87" s="125"/>
      <c r="DE87" s="125"/>
      <c r="DF87" s="56"/>
      <c r="DG87" s="296">
        <f t="shared" si="390"/>
        <v>44607</v>
      </c>
      <c r="DH87" s="56"/>
      <c r="DI87" s="56"/>
      <c r="DJ87" s="56"/>
      <c r="DK87" s="56"/>
      <c r="DL87" s="56"/>
      <c r="DM87" s="56"/>
      <c r="DN87" s="56"/>
      <c r="DO87" s="56"/>
      <c r="DP87" s="56"/>
      <c r="DQ87" s="56"/>
      <c r="DR87" s="56"/>
      <c r="DS87" s="56"/>
      <c r="DT87" s="710"/>
      <c r="DU87" s="711"/>
      <c r="DV87" s="711"/>
      <c r="DW87" s="715" t="str">
        <f t="shared" si="420"/>
        <v>0</v>
      </c>
      <c r="DX87" s="713"/>
      <c r="DY87" s="713"/>
      <c r="DZ87" s="715" t="str">
        <f t="shared" si="391"/>
        <v>0</v>
      </c>
      <c r="EA87" s="716"/>
      <c r="EB87" s="710"/>
      <c r="EC87" s="715" t="str">
        <f t="shared" si="392"/>
        <v>0</v>
      </c>
      <c r="ED87" s="716"/>
      <c r="EE87" s="710"/>
      <c r="EF87" s="715" t="str">
        <f t="shared" si="393"/>
        <v>0</v>
      </c>
      <c r="EG87" s="716"/>
      <c r="EH87" s="717"/>
      <c r="EI87" s="715" t="str">
        <f t="shared" si="394"/>
        <v>0</v>
      </c>
      <c r="EJ87" s="718"/>
      <c r="EK87" s="695"/>
      <c r="EL87" s="696"/>
      <c r="EM87" s="697" t="str">
        <f t="shared" si="395"/>
        <v>0</v>
      </c>
      <c r="EN87" s="695"/>
      <c r="EO87" s="696"/>
      <c r="EP87" s="697" t="str">
        <f t="shared" si="396"/>
        <v>0</v>
      </c>
      <c r="EQ87" s="695"/>
      <c r="ER87" s="696"/>
      <c r="ES87" s="697" t="str">
        <f t="shared" si="397"/>
        <v>0</v>
      </c>
      <c r="ET87" s="695"/>
      <c r="EU87" s="722"/>
      <c r="EV87" s="698" t="str">
        <f t="shared" si="398"/>
        <v>0</v>
      </c>
      <c r="EW87" s="699"/>
      <c r="EX87" s="700"/>
      <c r="EY87" s="697" t="str">
        <f t="shared" si="399"/>
        <v>0</v>
      </c>
      <c r="EZ87" s="696"/>
      <c r="FA87" s="701"/>
      <c r="FB87" s="697" t="str">
        <f t="shared" si="400"/>
        <v>0</v>
      </c>
      <c r="FC87" s="703"/>
      <c r="FD87" s="703"/>
      <c r="FE87" s="697" t="str">
        <f t="shared" si="401"/>
        <v>0</v>
      </c>
      <c r="FF87" s="703"/>
      <c r="FG87" s="703"/>
      <c r="FH87" s="697" t="str">
        <f t="shared" si="402"/>
        <v>0</v>
      </c>
      <c r="FI87" s="703"/>
      <c r="FJ87" s="703"/>
      <c r="FK87" s="697" t="str">
        <f t="shared" si="403"/>
        <v>0</v>
      </c>
      <c r="FL87" s="703"/>
      <c r="FM87" s="703"/>
      <c r="FN87" s="703"/>
      <c r="FO87" s="703"/>
      <c r="FP87" s="701">
        <f t="shared" si="404"/>
        <v>44242</v>
      </c>
      <c r="FQ87" s="699">
        <f t="shared" si="348"/>
        <v>0</v>
      </c>
      <c r="FR87" s="703"/>
      <c r="FS87" s="701">
        <f t="shared" si="405"/>
        <v>44301</v>
      </c>
      <c r="FT87" s="727"/>
      <c r="FU87" s="727"/>
      <c r="FV87" s="727"/>
      <c r="FW87" s="727"/>
      <c r="FX87" s="728">
        <f t="shared" si="406"/>
        <v>0</v>
      </c>
      <c r="FY87" s="728">
        <f t="shared" si="362"/>
        <v>1476.7</v>
      </c>
      <c r="FZ87" s="724"/>
      <c r="GA87" s="741"/>
      <c r="GB87" s="724"/>
      <c r="GC87" s="724"/>
      <c r="GD87" s="117"/>
      <c r="GE87" s="117"/>
      <c r="GF87" s="493">
        <f t="shared" si="374"/>
        <v>5522950</v>
      </c>
      <c r="GG87" s="493"/>
      <c r="GH87" s="493">
        <f t="shared" si="328"/>
        <v>-5522950</v>
      </c>
      <c r="GI87" s="493" t="e">
        <f t="shared" si="375"/>
        <v>#DIV/0!</v>
      </c>
      <c r="GJ87" s="493">
        <f t="shared" si="376"/>
        <v>0</v>
      </c>
      <c r="GK87" s="493"/>
      <c r="GL87" s="493"/>
      <c r="GM87" s="493">
        <f t="shared" si="331"/>
        <v>0</v>
      </c>
      <c r="GN87" s="111" t="e">
        <f t="shared" si="332"/>
        <v>#DIV/0!</v>
      </c>
      <c r="GO87" s="111">
        <v>0.4</v>
      </c>
      <c r="GP87" s="493">
        <v>1883035</v>
      </c>
      <c r="GQ87" s="493"/>
      <c r="GR87" s="493"/>
      <c r="GS87" s="493">
        <f t="shared" si="413"/>
        <v>62767.833333333336</v>
      </c>
      <c r="GT87" s="493"/>
      <c r="GU87" s="493">
        <v>3389915</v>
      </c>
      <c r="GV87" s="493">
        <f t="shared" si="421"/>
        <v>0</v>
      </c>
      <c r="GW87" s="493"/>
      <c r="GX87" s="493"/>
      <c r="GY87" s="493">
        <f t="shared" si="334"/>
        <v>-3389915</v>
      </c>
      <c r="GZ87" s="893">
        <f t="shared" si="377"/>
        <v>0</v>
      </c>
      <c r="HA87" s="493"/>
      <c r="HB87" s="493">
        <v>250000</v>
      </c>
      <c r="HC87" s="493"/>
      <c r="HD87" s="493"/>
      <c r="HE87" s="500" t="e">
        <f t="shared" si="345"/>
        <v>#DIV/0!</v>
      </c>
      <c r="HF87" s="500"/>
      <c r="HG87" s="493"/>
      <c r="HH87" s="493">
        <f t="shared" si="407"/>
        <v>-250000</v>
      </c>
      <c r="HI87" s="493">
        <f t="shared" si="346"/>
        <v>0</v>
      </c>
      <c r="HJ87" s="496">
        <f t="shared" si="115"/>
        <v>0</v>
      </c>
      <c r="HK87" s="493">
        <f t="shared" si="408"/>
        <v>-8333.3333333333339</v>
      </c>
      <c r="HL87" s="497">
        <v>6.31</v>
      </c>
      <c r="HM87" s="497"/>
      <c r="HN87" s="493"/>
      <c r="HO87" s="493"/>
      <c r="HP87" s="493">
        <f t="shared" si="409"/>
        <v>71101.166666666672</v>
      </c>
      <c r="HQ87" s="493"/>
      <c r="HR87" s="493">
        <f t="shared" si="410"/>
        <v>0</v>
      </c>
      <c r="HS87" s="111">
        <f t="shared" si="364"/>
        <v>0.38621298400311427</v>
      </c>
      <c r="HT87" s="493"/>
      <c r="HU87" s="493"/>
      <c r="HV87" s="493"/>
      <c r="HW87" s="501">
        <f t="shared" si="365"/>
        <v>5522950</v>
      </c>
      <c r="HX87" s="293"/>
      <c r="HY87" s="293">
        <f t="shared" si="344"/>
        <v>0</v>
      </c>
      <c r="HZ87" s="294"/>
      <c r="IA87" s="297">
        <v>0</v>
      </c>
      <c r="IB87" s="297"/>
      <c r="IC87" s="269"/>
      <c r="ID87" s="269"/>
      <c r="IE87" s="491">
        <v>0</v>
      </c>
      <c r="IF87" s="278"/>
      <c r="IG87" s="290">
        <v>0</v>
      </c>
      <c r="IH87" s="278"/>
      <c r="II87" s="625"/>
      <c r="IJ87" s="295"/>
      <c r="IK87" s="300"/>
      <c r="IL87" s="298"/>
      <c r="IM87" s="298"/>
      <c r="IN87" s="292"/>
      <c r="IO87" s="293"/>
      <c r="IP87" s="292"/>
      <c r="IQ87" s="293"/>
      <c r="IR87" s="323"/>
      <c r="IS87" s="323"/>
      <c r="IT87" s="323"/>
      <c r="IU87" s="323"/>
      <c r="IV87" s="286"/>
      <c r="IW87" s="286"/>
      <c r="IX87" s="286"/>
      <c r="IY87" s="286"/>
      <c r="IZ87" s="286"/>
      <c r="JA87" s="286"/>
      <c r="JB87" s="297" t="e">
        <f t="shared" si="419"/>
        <v>#VALUE!</v>
      </c>
      <c r="JC87" s="122"/>
      <c r="JD87" s="295"/>
      <c r="JE87" s="122"/>
      <c r="JF87" s="122"/>
      <c r="JG87" s="295"/>
    </row>
    <row r="88" spans="1:267" ht="24.95" customHeight="1">
      <c r="A88" s="315" t="s">
        <v>512</v>
      </c>
      <c r="B88" s="56" t="s">
        <v>28</v>
      </c>
      <c r="C88" s="56" t="s">
        <v>113</v>
      </c>
      <c r="D88" s="56">
        <v>2019</v>
      </c>
      <c r="E88" s="56"/>
      <c r="F88" s="56" t="s">
        <v>488</v>
      </c>
      <c r="G88" s="56"/>
      <c r="H88" s="56" t="s">
        <v>455</v>
      </c>
      <c r="I88" s="56"/>
      <c r="J88" s="56" t="s">
        <v>538</v>
      </c>
      <c r="K88" s="272" t="s">
        <v>537</v>
      </c>
      <c r="L88" s="176" t="s">
        <v>64</v>
      </c>
      <c r="M88" s="328" t="s">
        <v>535</v>
      </c>
      <c r="N88" s="329" t="s">
        <v>536</v>
      </c>
      <c r="O88" s="243"/>
      <c r="P88" s="243"/>
      <c r="Q88" s="243"/>
      <c r="R88" s="243"/>
      <c r="S88" s="243"/>
      <c r="T88" s="819"/>
      <c r="U88" s="819"/>
      <c r="V88" s="819"/>
      <c r="W88" s="243"/>
      <c r="X88" s="218"/>
      <c r="Y88" s="226" t="e">
        <f t="shared" si="412"/>
        <v>#DIV/0!</v>
      </c>
      <c r="Z88" s="218"/>
      <c r="AA88" s="218"/>
      <c r="AB88" s="219"/>
      <c r="AC88" s="56" t="s">
        <v>487</v>
      </c>
      <c r="AD88" s="342">
        <f t="shared" si="380"/>
        <v>32</v>
      </c>
      <c r="AE88" s="67"/>
      <c r="AF88" s="119"/>
      <c r="AG88" s="119"/>
      <c r="AH88" s="203">
        <v>32</v>
      </c>
      <c r="AI88" s="60"/>
      <c r="AJ88" s="94"/>
      <c r="AK88" s="60"/>
      <c r="AL88" s="81"/>
      <c r="AM88" s="81"/>
      <c r="AN88" s="81"/>
      <c r="AO88" s="81"/>
      <c r="AP88" s="81"/>
      <c r="AQ88" s="60"/>
      <c r="AR88" s="79"/>
      <c r="AS88" s="81"/>
      <c r="AT88" s="60"/>
      <c r="AU88" s="56"/>
      <c r="AV88" s="56"/>
      <c r="AW88" s="56"/>
      <c r="AX88" s="56"/>
      <c r="AY88" s="114"/>
      <c r="AZ88" s="114"/>
      <c r="BA88" s="99"/>
      <c r="BB88" s="214"/>
      <c r="BC88" s="101"/>
      <c r="BD88" s="101"/>
      <c r="BE88" s="214"/>
      <c r="BF88" s="101"/>
      <c r="BG88" s="170"/>
      <c r="BH88" s="213"/>
      <c r="BI88" s="170"/>
      <c r="BJ88" s="170"/>
      <c r="BK88" s="102"/>
      <c r="BL88" s="198">
        <f t="shared" si="415"/>
        <v>731</v>
      </c>
      <c r="BM88" s="198">
        <f t="shared" si="416"/>
        <v>1096</v>
      </c>
      <c r="BN88" s="198"/>
      <c r="BO88" s="170"/>
      <c r="BP88" s="175"/>
      <c r="BQ88" s="102"/>
      <c r="BR88" s="103"/>
      <c r="BS88" s="103"/>
      <c r="BT88" s="103"/>
      <c r="BU88" s="168"/>
      <c r="BV88" s="266"/>
      <c r="BW88" s="266"/>
      <c r="BX88" s="167"/>
      <c r="BY88" s="266"/>
      <c r="BZ88" s="266"/>
      <c r="CA88" s="266"/>
      <c r="CB88" s="517"/>
      <c r="CC88" s="517"/>
      <c r="CD88" s="615"/>
      <c r="CE88" s="452">
        <v>43845</v>
      </c>
      <c r="CF88" s="445"/>
      <c r="CG88" s="600">
        <f t="shared" si="381"/>
        <v>1461.5</v>
      </c>
      <c r="CH88" s="260">
        <v>12</v>
      </c>
      <c r="CI88" s="260">
        <f t="shared" si="382"/>
        <v>13</v>
      </c>
      <c r="CJ88" s="255">
        <f t="shared" si="383"/>
        <v>13</v>
      </c>
      <c r="CK88" s="255">
        <f t="shared" si="384"/>
        <v>15</v>
      </c>
      <c r="CL88" s="255">
        <f t="shared" si="385"/>
        <v>1</v>
      </c>
      <c r="CM88" s="255">
        <f t="shared" si="386"/>
        <v>2</v>
      </c>
      <c r="CN88" s="261"/>
      <c r="CO88" s="261">
        <f t="shared" si="387"/>
        <v>0</v>
      </c>
      <c r="CP88" s="256"/>
      <c r="CQ88" s="797">
        <f t="shared" si="388"/>
        <v>44211</v>
      </c>
      <c r="CR88" s="513">
        <f t="shared" si="417"/>
        <v>44242</v>
      </c>
      <c r="CS88" s="626"/>
      <c r="CT88" s="196"/>
      <c r="CU88" s="882">
        <f t="shared" si="389"/>
        <v>0</v>
      </c>
      <c r="CV88" s="196"/>
      <c r="CW88" s="749">
        <f t="shared" si="350"/>
        <v>44270</v>
      </c>
      <c r="CX88" s="513">
        <f t="shared" si="418"/>
        <v>44301</v>
      </c>
      <c r="CY88" s="565"/>
      <c r="CZ88" s="122"/>
      <c r="DA88" s="125"/>
      <c r="DB88" s="125"/>
      <c r="DC88" s="125"/>
      <c r="DD88" s="125"/>
      <c r="DE88" s="125"/>
      <c r="DF88" s="56"/>
      <c r="DG88" s="296">
        <f t="shared" si="390"/>
        <v>44607</v>
      </c>
      <c r="DH88" s="56"/>
      <c r="DI88" s="56"/>
      <c r="DJ88" s="56"/>
      <c r="DK88" s="56"/>
      <c r="DL88" s="56"/>
      <c r="DM88" s="56"/>
      <c r="DN88" s="56"/>
      <c r="DO88" s="56"/>
      <c r="DP88" s="56"/>
      <c r="DQ88" s="56"/>
      <c r="DR88" s="56"/>
      <c r="DS88" s="56"/>
      <c r="DT88" s="710"/>
      <c r="DU88" s="711"/>
      <c r="DV88" s="711"/>
      <c r="DW88" s="715" t="str">
        <f t="shared" si="420"/>
        <v>0</v>
      </c>
      <c r="DX88" s="713"/>
      <c r="DY88" s="713"/>
      <c r="DZ88" s="715" t="str">
        <f t="shared" si="391"/>
        <v>0</v>
      </c>
      <c r="EA88" s="716"/>
      <c r="EB88" s="710"/>
      <c r="EC88" s="715" t="str">
        <f t="shared" si="392"/>
        <v>0</v>
      </c>
      <c r="ED88" s="716"/>
      <c r="EE88" s="710"/>
      <c r="EF88" s="715" t="str">
        <f t="shared" si="393"/>
        <v>0</v>
      </c>
      <c r="EG88" s="716"/>
      <c r="EH88" s="717"/>
      <c r="EI88" s="715" t="str">
        <f t="shared" si="394"/>
        <v>0</v>
      </c>
      <c r="EJ88" s="718"/>
      <c r="EK88" s="695"/>
      <c r="EL88" s="696"/>
      <c r="EM88" s="697" t="str">
        <f t="shared" si="395"/>
        <v>0</v>
      </c>
      <c r="EN88" s="695"/>
      <c r="EO88" s="696"/>
      <c r="EP88" s="697" t="str">
        <f t="shared" si="396"/>
        <v>0</v>
      </c>
      <c r="EQ88" s="695"/>
      <c r="ER88" s="696"/>
      <c r="ES88" s="697" t="str">
        <f t="shared" si="397"/>
        <v>0</v>
      </c>
      <c r="ET88" s="695"/>
      <c r="EU88" s="722"/>
      <c r="EV88" s="698" t="str">
        <f t="shared" si="398"/>
        <v>0</v>
      </c>
      <c r="EW88" s="699"/>
      <c r="EX88" s="700"/>
      <c r="EY88" s="697" t="str">
        <f t="shared" si="399"/>
        <v>0</v>
      </c>
      <c r="EZ88" s="696"/>
      <c r="FA88" s="701"/>
      <c r="FB88" s="697" t="str">
        <f t="shared" si="400"/>
        <v>0</v>
      </c>
      <c r="FC88" s="703"/>
      <c r="FD88" s="703"/>
      <c r="FE88" s="697" t="str">
        <f t="shared" si="401"/>
        <v>0</v>
      </c>
      <c r="FF88" s="703"/>
      <c r="FG88" s="703"/>
      <c r="FH88" s="697" t="str">
        <f t="shared" si="402"/>
        <v>0</v>
      </c>
      <c r="FI88" s="703"/>
      <c r="FJ88" s="703"/>
      <c r="FK88" s="697" t="str">
        <f t="shared" si="403"/>
        <v>0</v>
      </c>
      <c r="FL88" s="703"/>
      <c r="FM88" s="703"/>
      <c r="FN88" s="703"/>
      <c r="FO88" s="703"/>
      <c r="FP88" s="701">
        <f t="shared" si="404"/>
        <v>44242</v>
      </c>
      <c r="FQ88" s="699">
        <f t="shared" si="348"/>
        <v>0</v>
      </c>
      <c r="FR88" s="703"/>
      <c r="FS88" s="701">
        <f t="shared" si="405"/>
        <v>44301</v>
      </c>
      <c r="FT88" s="727"/>
      <c r="FU88" s="727"/>
      <c r="FV88" s="727"/>
      <c r="FW88" s="727"/>
      <c r="FX88" s="728">
        <f t="shared" si="406"/>
        <v>0</v>
      </c>
      <c r="FY88" s="728">
        <f t="shared" si="362"/>
        <v>1476.7</v>
      </c>
      <c r="FZ88" s="724"/>
      <c r="GA88" s="741"/>
      <c r="GB88" s="724"/>
      <c r="GC88" s="724"/>
      <c r="GD88" s="117"/>
      <c r="GE88" s="117"/>
      <c r="GF88" s="493">
        <f t="shared" si="374"/>
        <v>5522950</v>
      </c>
      <c r="GG88" s="493"/>
      <c r="GH88" s="493">
        <f t="shared" si="328"/>
        <v>-5522950</v>
      </c>
      <c r="GI88" s="493" t="e">
        <f t="shared" si="375"/>
        <v>#DIV/0!</v>
      </c>
      <c r="GJ88" s="493">
        <f t="shared" si="376"/>
        <v>0</v>
      </c>
      <c r="GK88" s="493"/>
      <c r="GL88" s="493"/>
      <c r="GM88" s="493">
        <f t="shared" si="331"/>
        <v>0</v>
      </c>
      <c r="GN88" s="111" t="e">
        <f t="shared" si="332"/>
        <v>#DIV/0!</v>
      </c>
      <c r="GO88" s="111">
        <v>0.4</v>
      </c>
      <c r="GP88" s="493">
        <v>1883035</v>
      </c>
      <c r="GQ88" s="493"/>
      <c r="GR88" s="493"/>
      <c r="GS88" s="493">
        <f t="shared" si="413"/>
        <v>58844.84375</v>
      </c>
      <c r="GT88" s="493"/>
      <c r="GU88" s="493">
        <v>3389915</v>
      </c>
      <c r="GV88" s="493">
        <f t="shared" si="421"/>
        <v>0</v>
      </c>
      <c r="GW88" s="493"/>
      <c r="GX88" s="493"/>
      <c r="GY88" s="493">
        <f t="shared" si="334"/>
        <v>-3389915</v>
      </c>
      <c r="GZ88" s="893">
        <f t="shared" si="377"/>
        <v>0</v>
      </c>
      <c r="HA88" s="493"/>
      <c r="HB88" s="493">
        <v>250000</v>
      </c>
      <c r="HC88" s="493"/>
      <c r="HD88" s="493"/>
      <c r="HE88" s="500" t="e">
        <f t="shared" si="345"/>
        <v>#DIV/0!</v>
      </c>
      <c r="HF88" s="500"/>
      <c r="HG88" s="493"/>
      <c r="HH88" s="493">
        <f t="shared" si="407"/>
        <v>-250000</v>
      </c>
      <c r="HI88" s="493">
        <f t="shared" si="346"/>
        <v>0</v>
      </c>
      <c r="HJ88" s="496">
        <f t="shared" si="115"/>
        <v>0</v>
      </c>
      <c r="HK88" s="493">
        <f t="shared" si="408"/>
        <v>-7812.5</v>
      </c>
      <c r="HL88" s="497">
        <v>6.31</v>
      </c>
      <c r="HM88" s="497"/>
      <c r="HN88" s="493"/>
      <c r="HO88" s="493"/>
      <c r="HP88" s="493">
        <f t="shared" si="409"/>
        <v>66657.34375</v>
      </c>
      <c r="HQ88" s="493"/>
      <c r="HR88" s="493">
        <f t="shared" si="410"/>
        <v>0</v>
      </c>
      <c r="HS88" s="111">
        <f t="shared" si="364"/>
        <v>0.38621298400311427</v>
      </c>
      <c r="HT88" s="493"/>
      <c r="HU88" s="493"/>
      <c r="HV88" s="493"/>
      <c r="HW88" s="501">
        <f t="shared" si="365"/>
        <v>5522950</v>
      </c>
      <c r="HX88" s="293"/>
      <c r="HY88" s="293">
        <f t="shared" si="344"/>
        <v>0</v>
      </c>
      <c r="HZ88" s="294"/>
      <c r="IA88" s="297">
        <v>0</v>
      </c>
      <c r="IB88" s="297"/>
      <c r="IC88" s="269"/>
      <c r="ID88" s="269"/>
      <c r="IE88" s="491">
        <v>0</v>
      </c>
      <c r="IF88" s="278"/>
      <c r="IG88" s="290">
        <v>0</v>
      </c>
      <c r="IH88" s="278"/>
      <c r="II88" s="625"/>
      <c r="IJ88" s="295"/>
      <c r="IK88" s="300"/>
      <c r="IL88" s="298"/>
      <c r="IM88" s="298"/>
      <c r="IN88" s="292"/>
      <c r="IO88" s="293"/>
      <c r="IP88" s="292"/>
      <c r="IQ88" s="293"/>
      <c r="IR88" s="323"/>
      <c r="IS88" s="323"/>
      <c r="IT88" s="323"/>
      <c r="IU88" s="323"/>
      <c r="IV88" s="286"/>
      <c r="IW88" s="286"/>
      <c r="IX88" s="286"/>
      <c r="IY88" s="286"/>
      <c r="IZ88" s="286"/>
      <c r="JA88" s="286"/>
      <c r="JB88" s="297" t="e">
        <f t="shared" si="419"/>
        <v>#VALUE!</v>
      </c>
      <c r="JC88" s="122"/>
      <c r="JD88" s="295"/>
      <c r="JE88" s="122"/>
      <c r="JF88" s="122"/>
      <c r="JG88" s="295"/>
    </row>
    <row r="89" spans="1:267" ht="24.95" customHeight="1">
      <c r="A89" s="315" t="s">
        <v>515</v>
      </c>
      <c r="B89" s="56" t="s">
        <v>28</v>
      </c>
      <c r="C89" s="56" t="s">
        <v>113</v>
      </c>
      <c r="D89" s="56">
        <v>2019</v>
      </c>
      <c r="E89" s="56"/>
      <c r="F89" s="56" t="s">
        <v>488</v>
      </c>
      <c r="G89" s="56"/>
      <c r="H89" s="56" t="s">
        <v>455</v>
      </c>
      <c r="I89" s="56"/>
      <c r="J89" s="56"/>
      <c r="K89" s="272" t="s">
        <v>547</v>
      </c>
      <c r="L89" s="176" t="s">
        <v>64</v>
      </c>
      <c r="M89" s="177" t="s">
        <v>546</v>
      </c>
      <c r="N89" s="178">
        <v>37125</v>
      </c>
      <c r="O89" s="243"/>
      <c r="P89" s="243"/>
      <c r="Q89" s="243"/>
      <c r="R89" s="243"/>
      <c r="S89" s="243"/>
      <c r="T89" s="819"/>
      <c r="U89" s="819"/>
      <c r="V89" s="819"/>
      <c r="W89" s="243"/>
      <c r="X89" s="218"/>
      <c r="Y89" s="226" t="e">
        <f t="shared" si="412"/>
        <v>#DIV/0!</v>
      </c>
      <c r="Z89" s="218"/>
      <c r="AA89" s="218"/>
      <c r="AB89" s="219"/>
      <c r="AC89" s="56" t="s">
        <v>487</v>
      </c>
      <c r="AD89" s="342">
        <f t="shared" si="380"/>
        <v>18</v>
      </c>
      <c r="AE89" s="67"/>
      <c r="AF89" s="119"/>
      <c r="AG89" s="119"/>
      <c r="AH89" s="203">
        <v>18</v>
      </c>
      <c r="AI89" s="60"/>
      <c r="AJ89" s="94"/>
      <c r="AK89" s="10"/>
      <c r="AL89" s="81"/>
      <c r="AM89" s="81"/>
      <c r="AN89" s="81"/>
      <c r="AO89" s="81"/>
      <c r="AP89" s="81"/>
      <c r="AQ89" s="60"/>
      <c r="AR89" s="79"/>
      <c r="AS89" s="81"/>
      <c r="AT89" s="60"/>
      <c r="AU89" s="56"/>
      <c r="AV89" s="56"/>
      <c r="AW89" s="56"/>
      <c r="AX89" s="56"/>
      <c r="AY89" s="114"/>
      <c r="AZ89" s="114"/>
      <c r="BA89" s="99"/>
      <c r="BB89" s="214"/>
      <c r="BC89" s="101"/>
      <c r="BD89" s="101"/>
      <c r="BE89" s="214"/>
      <c r="BF89" s="101"/>
      <c r="BG89" s="170"/>
      <c r="BH89" s="213"/>
      <c r="BI89" s="170"/>
      <c r="BJ89" s="170"/>
      <c r="BK89" s="102"/>
      <c r="BL89" s="198">
        <f t="shared" si="415"/>
        <v>731</v>
      </c>
      <c r="BM89" s="198">
        <f t="shared" si="416"/>
        <v>1096</v>
      </c>
      <c r="BN89" s="198"/>
      <c r="BO89" s="170"/>
      <c r="BP89" s="175"/>
      <c r="BQ89" s="102"/>
      <c r="BR89" s="103"/>
      <c r="BS89" s="103"/>
      <c r="BT89" s="103"/>
      <c r="BU89" s="168"/>
      <c r="BV89" s="266"/>
      <c r="BW89" s="266"/>
      <c r="BX89" s="167"/>
      <c r="BY89" s="266"/>
      <c r="BZ89" s="266"/>
      <c r="CA89" s="266"/>
      <c r="CB89" s="517"/>
      <c r="CC89" s="517"/>
      <c r="CD89" s="615"/>
      <c r="CE89" s="452">
        <v>43845</v>
      </c>
      <c r="CF89" s="445"/>
      <c r="CG89" s="600">
        <f t="shared" si="381"/>
        <v>1461.5</v>
      </c>
      <c r="CH89" s="260">
        <v>12</v>
      </c>
      <c r="CI89" s="260">
        <f t="shared" si="382"/>
        <v>13</v>
      </c>
      <c r="CJ89" s="255">
        <f t="shared" si="383"/>
        <v>13</v>
      </c>
      <c r="CK89" s="255">
        <f t="shared" si="384"/>
        <v>15</v>
      </c>
      <c r="CL89" s="255">
        <f t="shared" si="385"/>
        <v>1</v>
      </c>
      <c r="CM89" s="255">
        <f t="shared" si="386"/>
        <v>2</v>
      </c>
      <c r="CN89" s="261"/>
      <c r="CO89" s="261">
        <f t="shared" si="387"/>
        <v>0</v>
      </c>
      <c r="CP89" s="256"/>
      <c r="CQ89" s="797">
        <f t="shared" si="388"/>
        <v>44211</v>
      </c>
      <c r="CR89" s="454">
        <f t="shared" si="417"/>
        <v>44242</v>
      </c>
      <c r="CS89" s="752"/>
      <c r="CT89" s="256"/>
      <c r="CU89" s="883">
        <f t="shared" si="389"/>
        <v>0</v>
      </c>
      <c r="CV89" s="256"/>
      <c r="CW89" s="749">
        <f t="shared" si="350"/>
        <v>44270</v>
      </c>
      <c r="CX89" s="612">
        <f t="shared" si="418"/>
        <v>44301</v>
      </c>
      <c r="CY89" s="753"/>
      <c r="CZ89" s="122"/>
      <c r="DA89" s="125"/>
      <c r="DB89" s="125"/>
      <c r="DC89" s="125"/>
      <c r="DD89" s="125"/>
      <c r="DE89" s="125"/>
      <c r="DF89" s="56"/>
      <c r="DG89" s="296">
        <f t="shared" si="390"/>
        <v>44607</v>
      </c>
      <c r="DH89" s="56"/>
      <c r="DI89" s="56"/>
      <c r="DJ89" s="56"/>
      <c r="DK89" s="56"/>
      <c r="DL89" s="56"/>
      <c r="DM89" s="56"/>
      <c r="DN89" s="56"/>
      <c r="DO89" s="56"/>
      <c r="DP89" s="56"/>
      <c r="DQ89" s="56"/>
      <c r="DR89" s="56"/>
      <c r="DS89" s="56"/>
      <c r="DT89" s="710"/>
      <c r="DU89" s="713"/>
      <c r="DV89" s="713"/>
      <c r="DW89" s="715" t="str">
        <f t="shared" si="420"/>
        <v>0</v>
      </c>
      <c r="DX89" s="713"/>
      <c r="DY89" s="713"/>
      <c r="DZ89" s="715" t="str">
        <f t="shared" si="391"/>
        <v>0</v>
      </c>
      <c r="EA89" s="713"/>
      <c r="EB89" s="713"/>
      <c r="EC89" s="715" t="str">
        <f t="shared" si="392"/>
        <v>0</v>
      </c>
      <c r="ED89" s="713"/>
      <c r="EE89" s="713"/>
      <c r="EF89" s="715" t="str">
        <f t="shared" si="393"/>
        <v>0</v>
      </c>
      <c r="EG89" s="716"/>
      <c r="EH89" s="717"/>
      <c r="EI89" s="715" t="str">
        <f t="shared" si="394"/>
        <v>0</v>
      </c>
      <c r="EJ89" s="718"/>
      <c r="EK89" s="695"/>
      <c r="EL89" s="696"/>
      <c r="EM89" s="697" t="str">
        <f t="shared" si="395"/>
        <v>0</v>
      </c>
      <c r="EN89" s="695"/>
      <c r="EO89" s="696"/>
      <c r="EP89" s="697" t="str">
        <f t="shared" si="396"/>
        <v>0</v>
      </c>
      <c r="EQ89" s="695"/>
      <c r="ER89" s="696"/>
      <c r="ES89" s="697" t="str">
        <f t="shared" si="397"/>
        <v>0</v>
      </c>
      <c r="ET89" s="695"/>
      <c r="EU89" s="722"/>
      <c r="EV89" s="698" t="str">
        <f t="shared" si="398"/>
        <v>0</v>
      </c>
      <c r="EW89" s="699"/>
      <c r="EX89" s="700"/>
      <c r="EY89" s="697" t="str">
        <f t="shared" si="399"/>
        <v>0</v>
      </c>
      <c r="EZ89" s="696"/>
      <c r="FA89" s="701"/>
      <c r="FB89" s="697" t="str">
        <f t="shared" si="400"/>
        <v>0</v>
      </c>
      <c r="FC89" s="703"/>
      <c r="FD89" s="703"/>
      <c r="FE89" s="697" t="str">
        <f t="shared" si="401"/>
        <v>0</v>
      </c>
      <c r="FF89" s="703"/>
      <c r="FG89" s="703"/>
      <c r="FH89" s="697" t="str">
        <f t="shared" si="402"/>
        <v>0</v>
      </c>
      <c r="FI89" s="701"/>
      <c r="FJ89" s="701"/>
      <c r="FK89" s="697" t="str">
        <f t="shared" si="403"/>
        <v>0</v>
      </c>
      <c r="FL89" s="703"/>
      <c r="FM89" s="703"/>
      <c r="FN89" s="703"/>
      <c r="FO89" s="703"/>
      <c r="FP89" s="701">
        <f t="shared" si="404"/>
        <v>44242</v>
      </c>
      <c r="FQ89" s="699">
        <f t="shared" si="348"/>
        <v>0</v>
      </c>
      <c r="FR89" s="703"/>
      <c r="FS89" s="701">
        <f t="shared" si="405"/>
        <v>44301</v>
      </c>
      <c r="FT89" s="727"/>
      <c r="FU89" s="727"/>
      <c r="FV89" s="727"/>
      <c r="FW89" s="727"/>
      <c r="FX89" s="728">
        <f t="shared" si="406"/>
        <v>0</v>
      </c>
      <c r="FY89" s="728">
        <f t="shared" si="362"/>
        <v>1476.7</v>
      </c>
      <c r="FZ89" s="724"/>
      <c r="GA89" s="741"/>
      <c r="GB89" s="724"/>
      <c r="GC89" s="724"/>
      <c r="GD89" s="117"/>
      <c r="GE89" s="117"/>
      <c r="GF89" s="493">
        <f t="shared" si="374"/>
        <v>0</v>
      </c>
      <c r="GG89" s="493">
        <f t="shared" ref="GG89:GG104" si="422">GQ89+GV89+HC89+HV89+HD89+HG89</f>
        <v>0</v>
      </c>
      <c r="GH89" s="493">
        <f t="shared" si="328"/>
        <v>0</v>
      </c>
      <c r="GI89" s="493" t="e">
        <f t="shared" si="375"/>
        <v>#DIV/0!</v>
      </c>
      <c r="GJ89" s="493">
        <f t="shared" si="376"/>
        <v>0</v>
      </c>
      <c r="GK89" s="493"/>
      <c r="GL89" s="493"/>
      <c r="GM89" s="493">
        <f t="shared" si="331"/>
        <v>0</v>
      </c>
      <c r="GN89" s="111" t="e">
        <f t="shared" si="332"/>
        <v>#DIV/0!</v>
      </c>
      <c r="GO89" s="111">
        <v>0.4</v>
      </c>
      <c r="GP89" s="493"/>
      <c r="GQ89" s="493"/>
      <c r="GR89" s="493"/>
      <c r="GS89" s="494">
        <f t="shared" si="413"/>
        <v>0</v>
      </c>
      <c r="GT89" s="493"/>
      <c r="GU89" s="493"/>
      <c r="GV89" s="493">
        <f t="shared" si="421"/>
        <v>0</v>
      </c>
      <c r="GW89" s="493"/>
      <c r="GX89" s="493"/>
      <c r="GY89" s="493">
        <f t="shared" si="334"/>
        <v>0</v>
      </c>
      <c r="GZ89" s="893">
        <f t="shared" si="377"/>
        <v>0</v>
      </c>
      <c r="HA89" s="493"/>
      <c r="HB89" s="493"/>
      <c r="HC89" s="493"/>
      <c r="HD89" s="493"/>
      <c r="HE89" s="495" t="e">
        <f t="shared" si="345"/>
        <v>#DIV/0!</v>
      </c>
      <c r="HF89" s="500"/>
      <c r="HG89" s="493"/>
      <c r="HH89" s="493">
        <f t="shared" si="407"/>
        <v>0</v>
      </c>
      <c r="HI89" s="494">
        <f t="shared" si="346"/>
        <v>0</v>
      </c>
      <c r="HJ89" s="496">
        <f t="shared" ref="HJ89:HJ104" si="423">(GQ89+HC89)/AD89</f>
        <v>0</v>
      </c>
      <c r="HK89" s="493">
        <f t="shared" si="408"/>
        <v>0</v>
      </c>
      <c r="HL89" s="497">
        <v>6.31</v>
      </c>
      <c r="HM89" s="497"/>
      <c r="HN89" s="493"/>
      <c r="HO89" s="493"/>
      <c r="HP89" s="493">
        <f t="shared" si="409"/>
        <v>0</v>
      </c>
      <c r="HQ89" s="493"/>
      <c r="HR89" s="493">
        <f t="shared" si="410"/>
        <v>0</v>
      </c>
      <c r="HS89" s="111" t="e">
        <f t="shared" si="364"/>
        <v>#DIV/0!</v>
      </c>
      <c r="HT89" s="493"/>
      <c r="HU89" s="493"/>
      <c r="HV89" s="493"/>
      <c r="HW89" s="498">
        <f t="shared" si="365"/>
        <v>0</v>
      </c>
      <c r="HX89" s="293"/>
      <c r="HY89" s="293">
        <f t="shared" si="344"/>
        <v>0</v>
      </c>
      <c r="HZ89" s="294"/>
      <c r="IA89" s="297">
        <v>0</v>
      </c>
      <c r="IB89" s="297"/>
      <c r="IC89" s="269"/>
      <c r="ID89" s="269"/>
      <c r="IE89" s="491">
        <v>0</v>
      </c>
      <c r="IF89" s="278"/>
      <c r="IG89" s="290">
        <v>0</v>
      </c>
      <c r="IH89" s="278"/>
      <c r="II89" s="625"/>
      <c r="IJ89" s="295"/>
      <c r="IK89" s="300"/>
      <c r="IL89" s="298"/>
      <c r="IM89" s="298"/>
      <c r="IN89" s="292"/>
      <c r="IO89" s="293"/>
      <c r="IP89" s="292"/>
      <c r="IQ89" s="293"/>
      <c r="IR89" s="323"/>
      <c r="IS89" s="323"/>
      <c r="IT89" s="323"/>
      <c r="IU89" s="323"/>
      <c r="IV89" s="286"/>
      <c r="IW89" s="286"/>
      <c r="IX89" s="286"/>
      <c r="IY89" s="286"/>
      <c r="IZ89" s="286"/>
      <c r="JA89" s="286"/>
      <c r="JB89" s="297" t="e">
        <f t="shared" si="419"/>
        <v>#VALUE!</v>
      </c>
      <c r="JC89" s="122"/>
      <c r="JD89" s="295"/>
      <c r="JE89" s="122"/>
      <c r="JF89" s="122"/>
      <c r="JG89" s="295"/>
    </row>
    <row r="90" spans="1:267" ht="58.5" customHeight="1">
      <c r="A90" s="315" t="s">
        <v>514</v>
      </c>
      <c r="B90" s="56" t="s">
        <v>28</v>
      </c>
      <c r="C90" s="56" t="s">
        <v>113</v>
      </c>
      <c r="D90" s="56">
        <v>2019</v>
      </c>
      <c r="E90" s="56"/>
      <c r="F90" s="56" t="s">
        <v>488</v>
      </c>
      <c r="G90" s="56"/>
      <c r="H90" s="56" t="s">
        <v>455</v>
      </c>
      <c r="I90" s="56"/>
      <c r="J90" s="56" t="s">
        <v>541</v>
      </c>
      <c r="K90" s="272" t="s">
        <v>542</v>
      </c>
      <c r="L90" s="176" t="s">
        <v>64</v>
      </c>
      <c r="M90" s="177" t="s">
        <v>540</v>
      </c>
      <c r="N90" s="178">
        <v>35396</v>
      </c>
      <c r="O90" s="243"/>
      <c r="P90" s="243"/>
      <c r="Q90" s="243"/>
      <c r="R90" s="243"/>
      <c r="S90" s="243"/>
      <c r="T90" s="819"/>
      <c r="U90" s="819"/>
      <c r="V90" s="819"/>
      <c r="W90" s="243"/>
      <c r="X90" s="218"/>
      <c r="Y90" s="226" t="e">
        <f t="shared" si="412"/>
        <v>#DIV/0!</v>
      </c>
      <c r="Z90" s="218"/>
      <c r="AA90" s="218"/>
      <c r="AB90" s="219"/>
      <c r="AC90" s="56" t="s">
        <v>487</v>
      </c>
      <c r="AD90" s="342">
        <f t="shared" si="380"/>
        <v>26</v>
      </c>
      <c r="AE90" s="67"/>
      <c r="AF90" s="119"/>
      <c r="AG90" s="119"/>
      <c r="AH90" s="56">
        <v>26</v>
      </c>
      <c r="AI90" s="60"/>
      <c r="AJ90" s="94"/>
      <c r="AK90" s="10"/>
      <c r="AL90" s="81"/>
      <c r="AM90" s="81"/>
      <c r="AN90" s="81"/>
      <c r="AO90" s="81"/>
      <c r="AP90" s="81"/>
      <c r="AQ90" s="60"/>
      <c r="AR90" s="79"/>
      <c r="AS90" s="81"/>
      <c r="AT90" s="60"/>
      <c r="AU90" s="56"/>
      <c r="AV90" s="56"/>
      <c r="AW90" s="56"/>
      <c r="AX90" s="56"/>
      <c r="AY90" s="114"/>
      <c r="AZ90" s="114"/>
      <c r="BA90" s="99"/>
      <c r="BB90" s="214"/>
      <c r="BC90" s="101"/>
      <c r="BD90" s="101"/>
      <c r="BE90" s="214"/>
      <c r="BF90" s="101"/>
      <c r="BG90" s="170"/>
      <c r="BH90" s="213"/>
      <c r="BI90" s="170"/>
      <c r="BJ90" s="170"/>
      <c r="BK90" s="102"/>
      <c r="BL90" s="198">
        <f t="shared" si="415"/>
        <v>731</v>
      </c>
      <c r="BM90" s="198">
        <f t="shared" si="416"/>
        <v>1096</v>
      </c>
      <c r="BN90" s="198"/>
      <c r="BO90" s="170"/>
      <c r="BP90" s="175"/>
      <c r="BQ90" s="102"/>
      <c r="BR90" s="103"/>
      <c r="BS90" s="103"/>
      <c r="BT90" s="103"/>
      <c r="BU90" s="168"/>
      <c r="BV90" s="266"/>
      <c r="BW90" s="266"/>
      <c r="BX90" s="167"/>
      <c r="BY90" s="266"/>
      <c r="BZ90" s="266"/>
      <c r="CA90" s="266"/>
      <c r="CB90" s="517"/>
      <c r="CC90" s="517"/>
      <c r="CD90" s="615"/>
      <c r="CE90" s="452">
        <v>43845</v>
      </c>
      <c r="CF90" s="445"/>
      <c r="CG90" s="600">
        <f t="shared" si="381"/>
        <v>1461.5</v>
      </c>
      <c r="CH90" s="260">
        <v>12</v>
      </c>
      <c r="CI90" s="260">
        <f t="shared" si="382"/>
        <v>13</v>
      </c>
      <c r="CJ90" s="255">
        <f t="shared" si="383"/>
        <v>13</v>
      </c>
      <c r="CK90" s="255">
        <f t="shared" si="384"/>
        <v>15</v>
      </c>
      <c r="CL90" s="255">
        <f t="shared" si="385"/>
        <v>1</v>
      </c>
      <c r="CM90" s="255">
        <f t="shared" si="386"/>
        <v>2</v>
      </c>
      <c r="CN90" s="261"/>
      <c r="CO90" s="261">
        <f t="shared" si="387"/>
        <v>0</v>
      </c>
      <c r="CP90" s="256"/>
      <c r="CQ90" s="797">
        <f t="shared" si="388"/>
        <v>44211</v>
      </c>
      <c r="CR90" s="454">
        <f t="shared" si="417"/>
        <v>44242</v>
      </c>
      <c r="CS90" s="752"/>
      <c r="CT90" s="256"/>
      <c r="CU90" s="883">
        <f t="shared" si="389"/>
        <v>0</v>
      </c>
      <c r="CV90" s="256"/>
      <c r="CW90" s="749">
        <f t="shared" si="350"/>
        <v>44270</v>
      </c>
      <c r="CX90" s="612">
        <f t="shared" si="418"/>
        <v>44301</v>
      </c>
      <c r="CY90" s="753"/>
      <c r="CZ90" s="122"/>
      <c r="DA90" s="125"/>
      <c r="DB90" s="125"/>
      <c r="DC90" s="125"/>
      <c r="DD90" s="125"/>
      <c r="DE90" s="125"/>
      <c r="DF90" s="56"/>
      <c r="DG90" s="296">
        <f t="shared" si="390"/>
        <v>44607</v>
      </c>
      <c r="DH90" s="56"/>
      <c r="DI90" s="56"/>
      <c r="DJ90" s="56"/>
      <c r="DK90" s="56"/>
      <c r="DL90" s="56"/>
      <c r="DM90" s="56"/>
      <c r="DN90" s="56"/>
      <c r="DO90" s="56"/>
      <c r="DP90" s="56"/>
      <c r="DQ90" s="56"/>
      <c r="DR90" s="56"/>
      <c r="DS90" s="56"/>
      <c r="DT90" s="710"/>
      <c r="DU90" s="713"/>
      <c r="DV90" s="713"/>
      <c r="DW90" s="715" t="str">
        <f t="shared" si="420"/>
        <v>0</v>
      </c>
      <c r="DX90" s="713"/>
      <c r="DY90" s="713"/>
      <c r="DZ90" s="715" t="str">
        <f t="shared" si="391"/>
        <v>0</v>
      </c>
      <c r="EA90" s="713"/>
      <c r="EB90" s="713"/>
      <c r="EC90" s="715" t="str">
        <f t="shared" si="392"/>
        <v>0</v>
      </c>
      <c r="ED90" s="713"/>
      <c r="EE90" s="713"/>
      <c r="EF90" s="715" t="str">
        <f t="shared" si="393"/>
        <v>0</v>
      </c>
      <c r="EG90" s="716"/>
      <c r="EH90" s="717"/>
      <c r="EI90" s="715" t="str">
        <f t="shared" si="394"/>
        <v>0</v>
      </c>
      <c r="EJ90" s="718"/>
      <c r="EK90" s="695"/>
      <c r="EL90" s="696"/>
      <c r="EM90" s="697" t="str">
        <f t="shared" si="395"/>
        <v>0</v>
      </c>
      <c r="EN90" s="695"/>
      <c r="EO90" s="696"/>
      <c r="EP90" s="697" t="str">
        <f t="shared" si="396"/>
        <v>0</v>
      </c>
      <c r="EQ90" s="695"/>
      <c r="ER90" s="696"/>
      <c r="ES90" s="697" t="str">
        <f t="shared" si="397"/>
        <v>0</v>
      </c>
      <c r="ET90" s="695"/>
      <c r="EU90" s="722"/>
      <c r="EV90" s="698" t="str">
        <f t="shared" si="398"/>
        <v>0</v>
      </c>
      <c r="EW90" s="699"/>
      <c r="EX90" s="700">
        <f t="shared" ref="EX90:EX96" ca="1" si="424">IF(EW90&lt;TODAY(),TODAY(),EW90)</f>
        <v>43188</v>
      </c>
      <c r="EY90" s="697" t="str">
        <f t="shared" ca="1" si="399"/>
        <v>0</v>
      </c>
      <c r="EZ90" s="696"/>
      <c r="FA90" s="701"/>
      <c r="FB90" s="697" t="str">
        <f t="shared" si="400"/>
        <v>0</v>
      </c>
      <c r="FC90" s="703"/>
      <c r="FD90" s="703"/>
      <c r="FE90" s="697" t="str">
        <f t="shared" si="401"/>
        <v>0</v>
      </c>
      <c r="FF90" s="703"/>
      <c r="FG90" s="703"/>
      <c r="FH90" s="697" t="str">
        <f t="shared" si="402"/>
        <v>0</v>
      </c>
      <c r="FI90" s="701"/>
      <c r="FJ90" s="701"/>
      <c r="FK90" s="697" t="str">
        <f t="shared" si="403"/>
        <v>0</v>
      </c>
      <c r="FL90" s="703"/>
      <c r="FM90" s="703"/>
      <c r="FN90" s="703"/>
      <c r="FO90" s="703"/>
      <c r="FP90" s="701">
        <f t="shared" si="404"/>
        <v>44242</v>
      </c>
      <c r="FQ90" s="699">
        <f t="shared" si="348"/>
        <v>0</v>
      </c>
      <c r="FR90" s="703"/>
      <c r="FS90" s="701">
        <f t="shared" si="405"/>
        <v>44301</v>
      </c>
      <c r="FT90" s="727"/>
      <c r="FU90" s="727"/>
      <c r="FV90" s="727"/>
      <c r="FW90" s="727"/>
      <c r="FX90" s="728">
        <f t="shared" si="406"/>
        <v>0</v>
      </c>
      <c r="FY90" s="728">
        <f t="shared" si="362"/>
        <v>1476.7</v>
      </c>
      <c r="FZ90" s="724"/>
      <c r="GA90" s="741"/>
      <c r="GB90" s="724"/>
      <c r="GC90" s="724"/>
      <c r="GD90" s="117"/>
      <c r="GE90" s="117"/>
      <c r="GF90" s="493">
        <f t="shared" si="374"/>
        <v>0</v>
      </c>
      <c r="GG90" s="493">
        <f t="shared" si="422"/>
        <v>0</v>
      </c>
      <c r="GH90" s="493">
        <f t="shared" si="328"/>
        <v>0</v>
      </c>
      <c r="GI90" s="493" t="e">
        <f t="shared" si="375"/>
        <v>#DIV/0!</v>
      </c>
      <c r="GJ90" s="493">
        <f t="shared" si="376"/>
        <v>0</v>
      </c>
      <c r="GK90" s="493"/>
      <c r="GL90" s="493"/>
      <c r="GM90" s="493">
        <f t="shared" si="331"/>
        <v>0</v>
      </c>
      <c r="GN90" s="111" t="e">
        <f t="shared" si="332"/>
        <v>#DIV/0!</v>
      </c>
      <c r="GO90" s="111">
        <v>0.4</v>
      </c>
      <c r="GP90" s="493"/>
      <c r="GQ90" s="493"/>
      <c r="GR90" s="493"/>
      <c r="GS90" s="493">
        <f t="shared" si="413"/>
        <v>0</v>
      </c>
      <c r="GT90" s="493"/>
      <c r="GU90" s="493"/>
      <c r="GV90" s="493">
        <f t="shared" si="421"/>
        <v>0</v>
      </c>
      <c r="GW90" s="493"/>
      <c r="GX90" s="493"/>
      <c r="GY90" s="493">
        <f t="shared" si="334"/>
        <v>0</v>
      </c>
      <c r="GZ90" s="893">
        <f t="shared" si="377"/>
        <v>0</v>
      </c>
      <c r="HA90" s="493"/>
      <c r="HB90" s="493"/>
      <c r="HC90" s="493"/>
      <c r="HD90" s="493"/>
      <c r="HE90" s="500" t="e">
        <f t="shared" si="345"/>
        <v>#DIV/0!</v>
      </c>
      <c r="HF90" s="500"/>
      <c r="HG90" s="493"/>
      <c r="HH90" s="493">
        <f t="shared" si="407"/>
        <v>0</v>
      </c>
      <c r="HI90" s="493">
        <f t="shared" si="346"/>
        <v>0</v>
      </c>
      <c r="HJ90" s="496">
        <f t="shared" si="423"/>
        <v>0</v>
      </c>
      <c r="HK90" s="493">
        <f t="shared" si="408"/>
        <v>0</v>
      </c>
      <c r="HL90" s="497">
        <v>6.31</v>
      </c>
      <c r="HM90" s="497"/>
      <c r="HN90" s="493"/>
      <c r="HO90" s="493"/>
      <c r="HP90" s="493">
        <f t="shared" si="409"/>
        <v>0</v>
      </c>
      <c r="HQ90" s="493"/>
      <c r="HR90" s="493">
        <f t="shared" si="410"/>
        <v>0</v>
      </c>
      <c r="HS90" s="111" t="e">
        <f t="shared" si="364"/>
        <v>#DIV/0!</v>
      </c>
      <c r="HT90" s="493"/>
      <c r="HU90" s="493"/>
      <c r="HV90" s="493"/>
      <c r="HW90" s="501">
        <f t="shared" si="365"/>
        <v>0</v>
      </c>
      <c r="HX90" s="293"/>
      <c r="HY90" s="293">
        <f t="shared" si="344"/>
        <v>0</v>
      </c>
      <c r="HZ90" s="294"/>
      <c r="IA90" s="297">
        <v>0</v>
      </c>
      <c r="IB90" s="297"/>
      <c r="IC90" s="269"/>
      <c r="ID90" s="269"/>
      <c r="IE90" s="491">
        <v>0</v>
      </c>
      <c r="IF90" s="278"/>
      <c r="IG90" s="290">
        <v>0</v>
      </c>
      <c r="IH90" s="278"/>
      <c r="II90" s="625"/>
      <c r="IJ90" s="295"/>
      <c r="IK90" s="300"/>
      <c r="IL90" s="298"/>
      <c r="IM90" s="298"/>
      <c r="IN90" s="292"/>
      <c r="IO90" s="293"/>
      <c r="IP90" s="292"/>
      <c r="IQ90" s="293"/>
      <c r="IR90" s="323"/>
      <c r="IS90" s="323"/>
      <c r="IT90" s="323"/>
      <c r="IU90" s="323"/>
      <c r="IV90" s="286"/>
      <c r="IW90" s="286"/>
      <c r="IX90" s="286"/>
      <c r="IY90" s="286"/>
      <c r="IZ90" s="286"/>
      <c r="JA90" s="286"/>
      <c r="JB90" s="297" t="e">
        <f t="shared" si="419"/>
        <v>#VALUE!</v>
      </c>
      <c r="JC90" s="122"/>
      <c r="JD90" s="295"/>
      <c r="JE90" s="122"/>
      <c r="JF90" s="122"/>
      <c r="JG90" s="295"/>
    </row>
    <row r="91" spans="1:267" ht="24.95" customHeight="1">
      <c r="A91" s="315" t="s">
        <v>513</v>
      </c>
      <c r="B91" s="56" t="s">
        <v>35</v>
      </c>
      <c r="C91" s="56" t="s">
        <v>113</v>
      </c>
      <c r="D91" s="56">
        <v>2019</v>
      </c>
      <c r="E91" s="56"/>
      <c r="F91" s="56" t="s">
        <v>488</v>
      </c>
      <c r="G91" s="56"/>
      <c r="H91" s="56"/>
      <c r="I91" s="56"/>
      <c r="J91" s="56" t="s">
        <v>251</v>
      </c>
      <c r="K91" s="272" t="s">
        <v>543</v>
      </c>
      <c r="L91" s="176"/>
      <c r="M91" s="177"/>
      <c r="N91" s="178"/>
      <c r="O91" s="243"/>
      <c r="P91" s="243"/>
      <c r="Q91" s="243"/>
      <c r="R91" s="243"/>
      <c r="S91" s="243"/>
      <c r="T91" s="819"/>
      <c r="U91" s="819"/>
      <c r="V91" s="819"/>
      <c r="W91" s="243"/>
      <c r="X91" s="218"/>
      <c r="Y91" s="226" t="e">
        <f t="shared" si="412"/>
        <v>#DIV/0!</v>
      </c>
      <c r="Z91" s="218"/>
      <c r="AA91" s="218"/>
      <c r="AB91" s="219"/>
      <c r="AC91" s="56" t="s">
        <v>487</v>
      </c>
      <c r="AD91" s="342">
        <f t="shared" si="380"/>
        <v>83</v>
      </c>
      <c r="AE91" s="67"/>
      <c r="AF91" s="119"/>
      <c r="AG91" s="119"/>
      <c r="AH91" s="203">
        <v>83</v>
      </c>
      <c r="AI91" s="60"/>
      <c r="AJ91" s="94"/>
      <c r="AK91" s="60"/>
      <c r="AL91" s="81"/>
      <c r="AM91" s="81"/>
      <c r="AN91" s="81"/>
      <c r="AO91" s="81"/>
      <c r="AP91" s="81"/>
      <c r="AQ91" s="60"/>
      <c r="AR91" s="79"/>
      <c r="AS91" s="81"/>
      <c r="AT91" s="60"/>
      <c r="AU91" s="56"/>
      <c r="AV91" s="56"/>
      <c r="AW91" s="56"/>
      <c r="AX91" s="56"/>
      <c r="AY91" s="114"/>
      <c r="AZ91" s="114"/>
      <c r="BA91" s="99"/>
      <c r="BB91" s="214"/>
      <c r="BC91" s="101"/>
      <c r="BD91" s="101"/>
      <c r="BE91" s="214"/>
      <c r="BF91" s="101"/>
      <c r="BG91" s="170"/>
      <c r="BH91" s="213"/>
      <c r="BI91" s="170"/>
      <c r="BJ91" s="170"/>
      <c r="BK91" s="102"/>
      <c r="BL91" s="198">
        <f t="shared" si="415"/>
        <v>731</v>
      </c>
      <c r="BM91" s="198">
        <f t="shared" si="416"/>
        <v>1096</v>
      </c>
      <c r="BN91" s="198"/>
      <c r="BO91" s="170"/>
      <c r="BP91" s="175"/>
      <c r="BQ91" s="102"/>
      <c r="BR91" s="103"/>
      <c r="BS91" s="103"/>
      <c r="BT91" s="103"/>
      <c r="BU91" s="168"/>
      <c r="BV91" s="266"/>
      <c r="BW91" s="266"/>
      <c r="BX91" s="167"/>
      <c r="BY91" s="266"/>
      <c r="BZ91" s="266"/>
      <c r="CA91" s="266"/>
      <c r="CB91" s="517"/>
      <c r="CC91" s="517"/>
      <c r="CD91" s="615"/>
      <c r="CE91" s="452">
        <v>43845</v>
      </c>
      <c r="CF91" s="445"/>
      <c r="CG91" s="600">
        <f t="shared" si="381"/>
        <v>1461.5</v>
      </c>
      <c r="CH91" s="260">
        <v>12</v>
      </c>
      <c r="CI91" s="260">
        <f t="shared" si="382"/>
        <v>13</v>
      </c>
      <c r="CJ91" s="255">
        <f t="shared" si="383"/>
        <v>13</v>
      </c>
      <c r="CK91" s="255">
        <f t="shared" si="384"/>
        <v>15</v>
      </c>
      <c r="CL91" s="255">
        <f t="shared" si="385"/>
        <v>1</v>
      </c>
      <c r="CM91" s="255">
        <f t="shared" si="386"/>
        <v>2</v>
      </c>
      <c r="CN91" s="261"/>
      <c r="CO91" s="261">
        <f t="shared" si="387"/>
        <v>0</v>
      </c>
      <c r="CP91" s="256"/>
      <c r="CQ91" s="797">
        <f t="shared" si="388"/>
        <v>44211</v>
      </c>
      <c r="CR91" s="454">
        <f t="shared" si="417"/>
        <v>44242</v>
      </c>
      <c r="CS91" s="752"/>
      <c r="CT91" s="256"/>
      <c r="CU91" s="883">
        <f t="shared" si="389"/>
        <v>0</v>
      </c>
      <c r="CV91" s="256"/>
      <c r="CW91" s="749">
        <f t="shared" si="350"/>
        <v>44270</v>
      </c>
      <c r="CX91" s="612">
        <f t="shared" si="418"/>
        <v>44301</v>
      </c>
      <c r="CY91" s="753"/>
      <c r="CZ91" s="122"/>
      <c r="DA91" s="125"/>
      <c r="DB91" s="125"/>
      <c r="DC91" s="125"/>
      <c r="DD91" s="125"/>
      <c r="DE91" s="125"/>
      <c r="DF91" s="56"/>
      <c r="DG91" s="296">
        <f t="shared" si="390"/>
        <v>44607</v>
      </c>
      <c r="DH91" s="56"/>
      <c r="DI91" s="56"/>
      <c r="DJ91" s="56"/>
      <c r="DK91" s="56"/>
      <c r="DL91" s="56"/>
      <c r="DM91" s="56"/>
      <c r="DN91" s="56"/>
      <c r="DO91" s="56"/>
      <c r="DP91" s="56"/>
      <c r="DQ91" s="56"/>
      <c r="DR91" s="56"/>
      <c r="DS91" s="56"/>
      <c r="DT91" s="710"/>
      <c r="DU91" s="713"/>
      <c r="DV91" s="713"/>
      <c r="DW91" s="715" t="str">
        <f t="shared" si="420"/>
        <v>0</v>
      </c>
      <c r="DX91" s="713"/>
      <c r="DY91" s="713"/>
      <c r="DZ91" s="715" t="str">
        <f t="shared" si="391"/>
        <v>0</v>
      </c>
      <c r="EA91" s="713"/>
      <c r="EB91" s="713"/>
      <c r="EC91" s="715" t="str">
        <f t="shared" si="392"/>
        <v>0</v>
      </c>
      <c r="ED91" s="713"/>
      <c r="EE91" s="713"/>
      <c r="EF91" s="715" t="str">
        <f t="shared" si="393"/>
        <v>0</v>
      </c>
      <c r="EG91" s="716"/>
      <c r="EH91" s="717"/>
      <c r="EI91" s="715" t="str">
        <f t="shared" si="394"/>
        <v>0</v>
      </c>
      <c r="EJ91" s="718"/>
      <c r="EK91" s="695"/>
      <c r="EL91" s="696"/>
      <c r="EM91" s="697" t="str">
        <f t="shared" si="395"/>
        <v>0</v>
      </c>
      <c r="EN91" s="695"/>
      <c r="EO91" s="696"/>
      <c r="EP91" s="697" t="str">
        <f t="shared" si="396"/>
        <v>0</v>
      </c>
      <c r="EQ91" s="695"/>
      <c r="ER91" s="696"/>
      <c r="ES91" s="697" t="str">
        <f t="shared" si="397"/>
        <v>0</v>
      </c>
      <c r="ET91" s="695"/>
      <c r="EU91" s="722"/>
      <c r="EV91" s="698" t="str">
        <f t="shared" si="398"/>
        <v>0</v>
      </c>
      <c r="EW91" s="699"/>
      <c r="EX91" s="700">
        <f t="shared" ca="1" si="424"/>
        <v>43188</v>
      </c>
      <c r="EY91" s="697" t="str">
        <f t="shared" ca="1" si="399"/>
        <v>0</v>
      </c>
      <c r="EZ91" s="696"/>
      <c r="FA91" s="701"/>
      <c r="FB91" s="697" t="str">
        <f t="shared" si="400"/>
        <v>0</v>
      </c>
      <c r="FC91" s="703"/>
      <c r="FD91" s="703"/>
      <c r="FE91" s="697" t="str">
        <f t="shared" si="401"/>
        <v>0</v>
      </c>
      <c r="FF91" s="703"/>
      <c r="FG91" s="703"/>
      <c r="FH91" s="697" t="str">
        <f t="shared" si="402"/>
        <v>0</v>
      </c>
      <c r="FI91" s="701"/>
      <c r="FJ91" s="701"/>
      <c r="FK91" s="697" t="str">
        <f t="shared" si="403"/>
        <v>0</v>
      </c>
      <c r="FL91" s="703"/>
      <c r="FM91" s="703"/>
      <c r="FN91" s="703"/>
      <c r="FO91" s="703"/>
      <c r="FP91" s="701">
        <f t="shared" si="404"/>
        <v>44242</v>
      </c>
      <c r="FQ91" s="699">
        <f t="shared" si="348"/>
        <v>0</v>
      </c>
      <c r="FR91" s="703"/>
      <c r="FS91" s="701">
        <f t="shared" si="405"/>
        <v>44301</v>
      </c>
      <c r="FT91" s="727"/>
      <c r="FU91" s="727"/>
      <c r="FV91" s="727"/>
      <c r="FW91" s="727"/>
      <c r="FX91" s="728">
        <f t="shared" si="406"/>
        <v>0</v>
      </c>
      <c r="FY91" s="728">
        <f t="shared" si="362"/>
        <v>1476.7</v>
      </c>
      <c r="FZ91" s="724"/>
      <c r="GA91" s="741"/>
      <c r="GB91" s="724"/>
      <c r="GC91" s="724"/>
      <c r="GD91" s="117"/>
      <c r="GE91" s="117"/>
      <c r="GF91" s="493">
        <f t="shared" si="374"/>
        <v>0</v>
      </c>
      <c r="GG91" s="493">
        <f t="shared" si="422"/>
        <v>0</v>
      </c>
      <c r="GH91" s="493">
        <f t="shared" si="328"/>
        <v>0</v>
      </c>
      <c r="GI91" s="493" t="e">
        <f t="shared" si="375"/>
        <v>#DIV/0!</v>
      </c>
      <c r="GJ91" s="493">
        <f t="shared" si="376"/>
        <v>0</v>
      </c>
      <c r="GK91" s="493"/>
      <c r="GL91" s="493"/>
      <c r="GM91" s="493">
        <f t="shared" si="331"/>
        <v>0</v>
      </c>
      <c r="GN91" s="111" t="e">
        <f t="shared" si="332"/>
        <v>#DIV/0!</v>
      </c>
      <c r="GO91" s="111">
        <v>0.4</v>
      </c>
      <c r="GP91" s="493"/>
      <c r="GQ91" s="493"/>
      <c r="GR91" s="493"/>
      <c r="GS91" s="493">
        <f t="shared" si="413"/>
        <v>0</v>
      </c>
      <c r="GT91" s="493"/>
      <c r="GU91" s="493"/>
      <c r="GV91" s="493">
        <f t="shared" si="421"/>
        <v>0</v>
      </c>
      <c r="GW91" s="493"/>
      <c r="GX91" s="493"/>
      <c r="GY91" s="493">
        <f t="shared" si="334"/>
        <v>0</v>
      </c>
      <c r="GZ91" s="893">
        <f t="shared" si="377"/>
        <v>0</v>
      </c>
      <c r="HA91" s="493"/>
      <c r="HB91" s="493"/>
      <c r="HC91" s="493"/>
      <c r="HD91" s="493"/>
      <c r="HE91" s="500" t="e">
        <f t="shared" si="345"/>
        <v>#DIV/0!</v>
      </c>
      <c r="HF91" s="500"/>
      <c r="HG91" s="493"/>
      <c r="HH91" s="493">
        <f t="shared" si="407"/>
        <v>0</v>
      </c>
      <c r="HI91" s="493">
        <f t="shared" si="346"/>
        <v>0</v>
      </c>
      <c r="HJ91" s="496">
        <f t="shared" si="423"/>
        <v>0</v>
      </c>
      <c r="HK91" s="493">
        <f t="shared" si="408"/>
        <v>0</v>
      </c>
      <c r="HL91" s="497">
        <v>6.31</v>
      </c>
      <c r="HM91" s="497"/>
      <c r="HN91" s="493"/>
      <c r="HO91" s="493"/>
      <c r="HP91" s="493">
        <f t="shared" si="409"/>
        <v>0</v>
      </c>
      <c r="HQ91" s="493"/>
      <c r="HR91" s="493">
        <f t="shared" si="410"/>
        <v>0</v>
      </c>
      <c r="HS91" s="111" t="e">
        <f t="shared" si="364"/>
        <v>#DIV/0!</v>
      </c>
      <c r="HT91" s="493"/>
      <c r="HU91" s="493"/>
      <c r="HV91" s="493"/>
      <c r="HW91" s="501">
        <f t="shared" si="365"/>
        <v>0</v>
      </c>
      <c r="HX91" s="293"/>
      <c r="HY91" s="293">
        <f t="shared" si="344"/>
        <v>0</v>
      </c>
      <c r="HZ91" s="294"/>
      <c r="IA91" s="297">
        <v>0</v>
      </c>
      <c r="IB91" s="297"/>
      <c r="IC91" s="269"/>
      <c r="ID91" s="269"/>
      <c r="IE91" s="491">
        <v>0</v>
      </c>
      <c r="IF91" s="278"/>
      <c r="IG91" s="290">
        <v>0</v>
      </c>
      <c r="IH91" s="278"/>
      <c r="II91" s="625"/>
      <c r="IJ91" s="295"/>
      <c r="IK91" s="300"/>
      <c r="IL91" s="298"/>
      <c r="IM91" s="298"/>
      <c r="IN91" s="292"/>
      <c r="IO91" s="293"/>
      <c r="IP91" s="292"/>
      <c r="IQ91" s="293"/>
      <c r="IR91" s="323"/>
      <c r="IS91" s="323"/>
      <c r="IT91" s="323"/>
      <c r="IU91" s="323"/>
      <c r="IV91" s="286"/>
      <c r="IW91" s="286"/>
      <c r="IX91" s="286"/>
      <c r="IY91" s="286"/>
      <c r="IZ91" s="286"/>
      <c r="JA91" s="286"/>
      <c r="JB91" s="297" t="e">
        <f t="shared" si="419"/>
        <v>#VALUE!</v>
      </c>
      <c r="JC91" s="122"/>
      <c r="JD91" s="295"/>
      <c r="JE91" s="122"/>
      <c r="JF91" s="122"/>
      <c r="JG91" s="295"/>
    </row>
    <row r="92" spans="1:267" ht="24.95" customHeight="1">
      <c r="A92" s="88" t="s">
        <v>720</v>
      </c>
      <c r="B92" s="56" t="s">
        <v>35</v>
      </c>
      <c r="C92" s="56" t="s">
        <v>113</v>
      </c>
      <c r="D92" s="56">
        <v>2019</v>
      </c>
      <c r="E92" s="56"/>
      <c r="F92" s="56" t="s">
        <v>58</v>
      </c>
      <c r="G92" s="56"/>
      <c r="H92" s="56" t="s">
        <v>248</v>
      </c>
      <c r="I92" s="56"/>
      <c r="J92" s="56" t="s">
        <v>709</v>
      </c>
      <c r="K92" s="272" t="s">
        <v>741</v>
      </c>
      <c r="L92" s="176" t="s">
        <v>710</v>
      </c>
      <c r="M92" s="177"/>
      <c r="N92" s="178"/>
      <c r="O92" s="217">
        <v>5498</v>
      </c>
      <c r="P92" s="217">
        <v>924932</v>
      </c>
      <c r="Q92" s="217"/>
      <c r="R92" s="217">
        <f t="shared" ref="R92:R93" si="425">P92/AD92</f>
        <v>22022.190476190477</v>
      </c>
      <c r="S92" s="217">
        <f t="shared" ref="S92:S104" si="426">P92/O92</f>
        <v>168.23062931975264</v>
      </c>
      <c r="T92" s="223">
        <f t="shared" ref="T92:T93" si="427">Q92/O92</f>
        <v>0</v>
      </c>
      <c r="U92" s="223" t="e">
        <f t="shared" ref="U92:U93" si="428">Q92/AJ92</f>
        <v>#DIV/0!</v>
      </c>
      <c r="V92" s="223">
        <f t="shared" ref="V92:V93" si="429">Q92/AD92</f>
        <v>0</v>
      </c>
      <c r="W92" s="217">
        <f t="shared" ref="W92:W93" si="430">O92/AD92</f>
        <v>130.9047619047619</v>
      </c>
      <c r="X92" s="218"/>
      <c r="Y92" s="226">
        <f t="shared" si="412"/>
        <v>0</v>
      </c>
      <c r="Z92" s="218" t="s">
        <v>192</v>
      </c>
      <c r="AA92" s="218">
        <v>580</v>
      </c>
      <c r="AB92" s="219">
        <v>0.1</v>
      </c>
      <c r="AC92" s="56" t="s">
        <v>15</v>
      </c>
      <c r="AD92" s="342">
        <f t="shared" si="380"/>
        <v>42</v>
      </c>
      <c r="AE92" s="56">
        <v>42</v>
      </c>
      <c r="AF92" s="67"/>
      <c r="AG92" s="67"/>
      <c r="AH92" s="67"/>
      <c r="AI92" s="60"/>
      <c r="AJ92" s="94"/>
      <c r="AK92" s="10"/>
      <c r="AL92" s="81"/>
      <c r="AM92" s="81"/>
      <c r="AN92" s="81"/>
      <c r="AO92" s="81"/>
      <c r="AP92" s="81"/>
      <c r="AQ92" s="60"/>
      <c r="AR92" s="79"/>
      <c r="AS92" s="81"/>
      <c r="AT92" s="60"/>
      <c r="AU92" s="56"/>
      <c r="AV92" s="56"/>
      <c r="AW92" s="56"/>
      <c r="AX92" s="56"/>
      <c r="AY92" s="114"/>
      <c r="AZ92" s="114"/>
      <c r="BA92" s="99"/>
      <c r="BB92" s="214"/>
      <c r="BC92" s="101"/>
      <c r="BD92" s="101"/>
      <c r="BE92" s="214"/>
      <c r="BF92" s="101"/>
      <c r="BG92" s="170"/>
      <c r="BH92" s="213"/>
      <c r="BI92" s="170"/>
      <c r="BJ92" s="170"/>
      <c r="BK92" s="102"/>
      <c r="BL92" s="198"/>
      <c r="BM92" s="198"/>
      <c r="BN92" s="198"/>
      <c r="BO92" s="170"/>
      <c r="BP92" s="175"/>
      <c r="BQ92" s="102"/>
      <c r="BR92" s="103"/>
      <c r="BS92" s="103"/>
      <c r="BT92" s="103"/>
      <c r="BU92" s="168"/>
      <c r="BV92" s="266"/>
      <c r="BW92" s="266"/>
      <c r="BX92" s="167"/>
      <c r="BY92" s="266"/>
      <c r="BZ92" s="266"/>
      <c r="CA92" s="266"/>
      <c r="CB92" s="266" t="s">
        <v>172</v>
      </c>
      <c r="CC92" s="781"/>
      <c r="CD92" s="615"/>
      <c r="CE92" s="452">
        <v>43647</v>
      </c>
      <c r="CF92" s="445"/>
      <c r="CG92" s="600">
        <f t="shared" si="381"/>
        <v>1454.9</v>
      </c>
      <c r="CH92" s="260">
        <v>24</v>
      </c>
      <c r="CI92" s="260">
        <f t="shared" si="382"/>
        <v>25</v>
      </c>
      <c r="CJ92" s="255">
        <f t="shared" si="383"/>
        <v>24</v>
      </c>
      <c r="CK92" s="255">
        <f t="shared" si="384"/>
        <v>25</v>
      </c>
      <c r="CL92" s="255">
        <f t="shared" si="385"/>
        <v>0</v>
      </c>
      <c r="CM92" s="255">
        <f t="shared" si="386"/>
        <v>0</v>
      </c>
      <c r="CN92" s="261"/>
      <c r="CO92" s="261">
        <f t="shared" si="387"/>
        <v>0</v>
      </c>
      <c r="CP92" s="256"/>
      <c r="CQ92" s="797">
        <f t="shared" si="388"/>
        <v>44378</v>
      </c>
      <c r="CR92" s="454">
        <f t="shared" ref="CR92:CR100" si="431">DATE(YEAR(CE92),MONTH(CE92)+CH92,DAY(CE92))</f>
        <v>44378</v>
      </c>
      <c r="CS92" s="752">
        <f>DATE(YEAR(CA92)+2,MONTH(CA92),DAY(CA92))</f>
        <v>731</v>
      </c>
      <c r="CT92" s="256"/>
      <c r="CU92" s="883">
        <f t="shared" si="389"/>
        <v>0</v>
      </c>
      <c r="CV92" s="256"/>
      <c r="CW92" s="749">
        <f t="shared" si="350"/>
        <v>44409</v>
      </c>
      <c r="CX92" s="612">
        <f>CW92</f>
        <v>44409</v>
      </c>
      <c r="CY92" s="753"/>
      <c r="CZ92" s="122"/>
      <c r="DA92" s="125"/>
      <c r="DB92" s="125"/>
      <c r="DC92" s="125"/>
      <c r="DD92" s="125"/>
      <c r="DE92" s="125"/>
      <c r="DF92" s="56"/>
      <c r="DG92" s="296">
        <f t="shared" si="390"/>
        <v>44743</v>
      </c>
      <c r="DH92" s="56"/>
      <c r="DI92" s="56"/>
      <c r="DJ92" s="56"/>
      <c r="DK92" s="56"/>
      <c r="DL92" s="56"/>
      <c r="DM92" s="56"/>
      <c r="DN92" s="56"/>
      <c r="DO92" s="56"/>
      <c r="DP92" s="56"/>
      <c r="DQ92" s="56"/>
      <c r="DR92" s="56"/>
      <c r="DS92" s="56"/>
      <c r="DT92" s="710"/>
      <c r="DU92" s="713"/>
      <c r="DV92" s="713"/>
      <c r="DW92" s="715" t="str">
        <f t="shared" si="420"/>
        <v>0</v>
      </c>
      <c r="DX92" s="713"/>
      <c r="DY92" s="713"/>
      <c r="DZ92" s="715" t="str">
        <f t="shared" si="391"/>
        <v>0</v>
      </c>
      <c r="EA92" s="713"/>
      <c r="EB92" s="713"/>
      <c r="EC92" s="715" t="str">
        <f t="shared" si="392"/>
        <v>0</v>
      </c>
      <c r="ED92" s="713"/>
      <c r="EE92" s="713"/>
      <c r="EF92" s="715" t="str">
        <f t="shared" si="393"/>
        <v>0</v>
      </c>
      <c r="EG92" s="716"/>
      <c r="EH92" s="717"/>
      <c r="EI92" s="715" t="str">
        <f t="shared" si="394"/>
        <v>0</v>
      </c>
      <c r="EJ92" s="718"/>
      <c r="EK92" s="695"/>
      <c r="EL92" s="696"/>
      <c r="EM92" s="697" t="str">
        <f t="shared" si="395"/>
        <v>0</v>
      </c>
      <c r="EN92" s="695"/>
      <c r="EO92" s="696"/>
      <c r="EP92" s="697" t="str">
        <f t="shared" si="396"/>
        <v>0</v>
      </c>
      <c r="EQ92" s="695"/>
      <c r="ER92" s="696"/>
      <c r="ES92" s="697" t="str">
        <f t="shared" si="397"/>
        <v>0</v>
      </c>
      <c r="ET92" s="695"/>
      <c r="EU92" s="722"/>
      <c r="EV92" s="698" t="str">
        <f t="shared" si="398"/>
        <v>0</v>
      </c>
      <c r="EW92" s="699"/>
      <c r="EX92" s="700">
        <f t="shared" ca="1" si="424"/>
        <v>43188</v>
      </c>
      <c r="EY92" s="697" t="str">
        <f t="shared" ca="1" si="399"/>
        <v>0</v>
      </c>
      <c r="EZ92" s="701"/>
      <c r="FA92" s="701"/>
      <c r="FB92" s="697" t="str">
        <f t="shared" si="400"/>
        <v>0</v>
      </c>
      <c r="FC92" s="701"/>
      <c r="FD92" s="701"/>
      <c r="FE92" s="697" t="str">
        <f t="shared" si="401"/>
        <v>0</v>
      </c>
      <c r="FF92" s="701"/>
      <c r="FG92" s="701"/>
      <c r="FH92" s="697" t="str">
        <f t="shared" si="402"/>
        <v>0</v>
      </c>
      <c r="FI92" s="701"/>
      <c r="FJ92" s="701"/>
      <c r="FK92" s="697" t="str">
        <f t="shared" si="403"/>
        <v>0</v>
      </c>
      <c r="FL92" s="701"/>
      <c r="FM92" s="701"/>
      <c r="FN92" s="701"/>
      <c r="FO92" s="701"/>
      <c r="FP92" s="701">
        <f t="shared" si="404"/>
        <v>44378</v>
      </c>
      <c r="FQ92" s="699">
        <f t="shared" si="348"/>
        <v>0</v>
      </c>
      <c r="FR92" s="701"/>
      <c r="FS92" s="701">
        <f t="shared" si="405"/>
        <v>44409</v>
      </c>
      <c r="FT92" s="727"/>
      <c r="FU92" s="727"/>
      <c r="FV92" s="727"/>
      <c r="FW92" s="727"/>
      <c r="FX92" s="728">
        <f t="shared" si="406"/>
        <v>0</v>
      </c>
      <c r="FY92" s="728">
        <f t="shared" si="362"/>
        <v>1480.3</v>
      </c>
      <c r="FZ92" s="724"/>
      <c r="GA92" s="741"/>
      <c r="GB92" s="724"/>
      <c r="GC92" s="724"/>
      <c r="GD92" s="117"/>
      <c r="GE92" s="117"/>
      <c r="GF92" s="95">
        <f t="shared" si="374"/>
        <v>0</v>
      </c>
      <c r="GG92" s="70">
        <f t="shared" si="422"/>
        <v>0</v>
      </c>
      <c r="GH92" s="96">
        <f t="shared" si="328"/>
        <v>0</v>
      </c>
      <c r="GI92" s="52" t="e">
        <f t="shared" si="375"/>
        <v>#DIV/0!</v>
      </c>
      <c r="GJ92" s="52">
        <f t="shared" si="376"/>
        <v>0</v>
      </c>
      <c r="GK92" s="95"/>
      <c r="GL92" s="70"/>
      <c r="GM92" s="96">
        <f t="shared" si="331"/>
        <v>0</v>
      </c>
      <c r="GN92" s="136" t="e">
        <f t="shared" si="332"/>
        <v>#DIV/0!</v>
      </c>
      <c r="GO92" s="137">
        <v>0.4</v>
      </c>
      <c r="GP92" s="95"/>
      <c r="GQ92" s="70"/>
      <c r="GR92" s="70"/>
      <c r="GS92" s="52">
        <f t="shared" si="413"/>
        <v>0</v>
      </c>
      <c r="GT92" s="97"/>
      <c r="GU92" s="95"/>
      <c r="GV92" s="70">
        <f t="shared" si="421"/>
        <v>0</v>
      </c>
      <c r="GW92" s="89"/>
      <c r="GX92" s="89"/>
      <c r="GY92" s="97">
        <f t="shared" si="334"/>
        <v>0</v>
      </c>
      <c r="GZ92" s="889">
        <f t="shared" si="377"/>
        <v>0</v>
      </c>
      <c r="HA92" s="70"/>
      <c r="HB92" s="304"/>
      <c r="HC92" s="70"/>
      <c r="HD92" s="70"/>
      <c r="HE92" s="90" t="e">
        <f t="shared" si="345"/>
        <v>#DIV/0!</v>
      </c>
      <c r="HF92" s="95"/>
      <c r="HG92" s="70"/>
      <c r="HH92" s="91">
        <f t="shared" si="407"/>
        <v>0</v>
      </c>
      <c r="HI92" s="52">
        <f t="shared" si="346"/>
        <v>0</v>
      </c>
      <c r="HJ92" s="84">
        <f t="shared" si="423"/>
        <v>0</v>
      </c>
      <c r="HK92" s="91">
        <f t="shared" si="408"/>
        <v>0</v>
      </c>
      <c r="HL92" s="92">
        <v>6.31</v>
      </c>
      <c r="HM92" s="92"/>
      <c r="HN92" s="93"/>
      <c r="HO92" s="93"/>
      <c r="HP92" s="52">
        <f t="shared" si="409"/>
        <v>0</v>
      </c>
      <c r="HQ92" s="93"/>
      <c r="HR92" s="52">
        <f t="shared" si="410"/>
        <v>0</v>
      </c>
      <c r="HS92" s="53" t="e">
        <f t="shared" si="364"/>
        <v>#DIV/0!</v>
      </c>
      <c r="HT92" s="93"/>
      <c r="HU92" s="93"/>
      <c r="HV92" s="70"/>
      <c r="HW92" s="98">
        <f t="shared" si="365"/>
        <v>0</v>
      </c>
      <c r="HX92" s="293">
        <v>417427</v>
      </c>
      <c r="HY92" s="293">
        <f t="shared" si="344"/>
        <v>41743</v>
      </c>
      <c r="HZ92" s="341">
        <v>43026</v>
      </c>
      <c r="IA92" s="339">
        <v>41743</v>
      </c>
      <c r="IB92" s="63"/>
      <c r="IC92" s="278"/>
      <c r="ID92" s="278"/>
      <c r="IE92" s="491"/>
      <c r="IF92" s="278"/>
      <c r="IG92" s="62"/>
      <c r="IH92" s="278"/>
      <c r="II92" s="62"/>
      <c r="IJ92" s="56"/>
      <c r="IK92" s="492"/>
      <c r="IL92" s="88"/>
      <c r="IM92" s="88"/>
      <c r="IN92" s="125"/>
      <c r="IO92" s="62"/>
      <c r="IP92" s="125"/>
      <c r="IQ92" s="62"/>
      <c r="IR92" s="56"/>
      <c r="IS92" s="56"/>
      <c r="IT92" s="56"/>
      <c r="IU92" s="56"/>
      <c r="IV92" s="286"/>
      <c r="IW92" s="286"/>
      <c r="IX92" s="286"/>
      <c r="IY92" s="286"/>
      <c r="IZ92" s="286"/>
      <c r="JA92" s="286"/>
      <c r="JB92" s="297"/>
      <c r="JC92" s="122"/>
      <c r="JD92" s="295"/>
      <c r="JE92" s="122"/>
      <c r="JF92" s="122"/>
      <c r="JG92" s="295"/>
    </row>
    <row r="93" spans="1:267" ht="24.95" customHeight="1">
      <c r="A93" s="88" t="s">
        <v>719</v>
      </c>
      <c r="B93" s="56" t="s">
        <v>35</v>
      </c>
      <c r="C93" s="56" t="s">
        <v>113</v>
      </c>
      <c r="D93" s="56">
        <v>2019</v>
      </c>
      <c r="E93" s="56"/>
      <c r="F93" s="56" t="s">
        <v>58</v>
      </c>
      <c r="G93" s="56"/>
      <c r="H93" s="56" t="s">
        <v>248</v>
      </c>
      <c r="I93" s="56"/>
      <c r="J93" s="56" t="s">
        <v>709</v>
      </c>
      <c r="K93" s="272" t="s">
        <v>728</v>
      </c>
      <c r="L93" s="176" t="s">
        <v>710</v>
      </c>
      <c r="M93" s="177"/>
      <c r="N93" s="178"/>
      <c r="O93" s="217">
        <v>5498</v>
      </c>
      <c r="P93" s="217">
        <v>1219167</v>
      </c>
      <c r="Q93" s="217"/>
      <c r="R93" s="217">
        <f t="shared" si="425"/>
        <v>23003.150943396227</v>
      </c>
      <c r="S93" s="217">
        <f t="shared" si="426"/>
        <v>221.74736267733721</v>
      </c>
      <c r="T93" s="223">
        <f t="shared" si="427"/>
        <v>0</v>
      </c>
      <c r="U93" s="223" t="e">
        <f t="shared" si="428"/>
        <v>#DIV/0!</v>
      </c>
      <c r="V93" s="223">
        <f t="shared" si="429"/>
        <v>0</v>
      </c>
      <c r="W93" s="217">
        <f t="shared" si="430"/>
        <v>103.73584905660377</v>
      </c>
      <c r="X93" s="218"/>
      <c r="Y93" s="226">
        <f t="shared" si="412"/>
        <v>0</v>
      </c>
      <c r="Z93" s="218" t="s">
        <v>192</v>
      </c>
      <c r="AA93" s="218">
        <v>580</v>
      </c>
      <c r="AB93" s="219">
        <v>0.1</v>
      </c>
      <c r="AC93" s="56" t="s">
        <v>16</v>
      </c>
      <c r="AD93" s="342">
        <f t="shared" si="380"/>
        <v>53</v>
      </c>
      <c r="AE93" s="67"/>
      <c r="AF93" s="56">
        <v>53</v>
      </c>
      <c r="AG93" s="67"/>
      <c r="AH93" s="56"/>
      <c r="AI93" s="60"/>
      <c r="AJ93" s="94"/>
      <c r="AK93" s="60"/>
      <c r="AL93" s="81"/>
      <c r="AM93" s="81"/>
      <c r="AN93" s="81"/>
      <c r="AO93" s="81"/>
      <c r="AP93" s="81"/>
      <c r="AQ93" s="60"/>
      <c r="AR93" s="79"/>
      <c r="AS93" s="81"/>
      <c r="AT93" s="60"/>
      <c r="AU93" s="56"/>
      <c r="AV93" s="56"/>
      <c r="AW93" s="56"/>
      <c r="AX93" s="56"/>
      <c r="AY93" s="114"/>
      <c r="AZ93" s="114"/>
      <c r="BA93" s="99"/>
      <c r="BB93" s="214"/>
      <c r="BC93" s="101"/>
      <c r="BD93" s="101"/>
      <c r="BE93" s="214"/>
      <c r="BF93" s="101"/>
      <c r="BG93" s="170"/>
      <c r="BH93" s="213"/>
      <c r="BI93" s="170"/>
      <c r="BJ93" s="170"/>
      <c r="BK93" s="102"/>
      <c r="BL93" s="198"/>
      <c r="BM93" s="198"/>
      <c r="BN93" s="198"/>
      <c r="BO93" s="170"/>
      <c r="BP93" s="175"/>
      <c r="BQ93" s="102"/>
      <c r="BR93" s="103"/>
      <c r="BS93" s="103"/>
      <c r="BT93" s="103"/>
      <c r="BU93" s="168"/>
      <c r="BV93" s="266"/>
      <c r="BW93" s="266"/>
      <c r="BX93" s="167"/>
      <c r="BY93" s="266"/>
      <c r="BZ93" s="266"/>
      <c r="CA93" s="266"/>
      <c r="CB93" s="266" t="s">
        <v>172</v>
      </c>
      <c r="CC93" s="781"/>
      <c r="CD93" s="615"/>
      <c r="CE93" s="452">
        <v>43647</v>
      </c>
      <c r="CF93" s="445"/>
      <c r="CG93" s="600">
        <f t="shared" si="381"/>
        <v>1454.9</v>
      </c>
      <c r="CH93" s="260">
        <v>24</v>
      </c>
      <c r="CI93" s="260">
        <f t="shared" si="382"/>
        <v>25</v>
      </c>
      <c r="CJ93" s="255">
        <f t="shared" si="383"/>
        <v>24</v>
      </c>
      <c r="CK93" s="255">
        <f t="shared" si="384"/>
        <v>25</v>
      </c>
      <c r="CL93" s="255">
        <f t="shared" si="385"/>
        <v>0</v>
      </c>
      <c r="CM93" s="255">
        <f t="shared" si="386"/>
        <v>0</v>
      </c>
      <c r="CN93" s="261"/>
      <c r="CO93" s="261">
        <f t="shared" si="387"/>
        <v>0</v>
      </c>
      <c r="CP93" s="256"/>
      <c r="CQ93" s="797">
        <f t="shared" si="388"/>
        <v>44378</v>
      </c>
      <c r="CR93" s="454">
        <f t="shared" si="431"/>
        <v>44378</v>
      </c>
      <c r="CS93" s="752">
        <f>DATE(YEAR(CA93)+2,MONTH(CA93),DAY(CA93))</f>
        <v>731</v>
      </c>
      <c r="CT93" s="256"/>
      <c r="CU93" s="883">
        <f t="shared" si="389"/>
        <v>0</v>
      </c>
      <c r="CV93" s="256"/>
      <c r="CW93" s="749">
        <f t="shared" si="350"/>
        <v>44409</v>
      </c>
      <c r="CX93" s="612">
        <f>CW93</f>
        <v>44409</v>
      </c>
      <c r="CY93" s="753"/>
      <c r="CZ93" s="122"/>
      <c r="DA93" s="125"/>
      <c r="DB93" s="125"/>
      <c r="DC93" s="125"/>
      <c r="DD93" s="125"/>
      <c r="DE93" s="125"/>
      <c r="DF93" s="56"/>
      <c r="DG93" s="296">
        <f t="shared" si="390"/>
        <v>44743</v>
      </c>
      <c r="DH93" s="56"/>
      <c r="DI93" s="56"/>
      <c r="DJ93" s="56"/>
      <c r="DK93" s="56"/>
      <c r="DL93" s="56"/>
      <c r="DM93" s="56"/>
      <c r="DN93" s="56"/>
      <c r="DO93" s="56"/>
      <c r="DP93" s="56"/>
      <c r="DQ93" s="56"/>
      <c r="DR93" s="56"/>
      <c r="DS93" s="56"/>
      <c r="DT93" s="710"/>
      <c r="DU93" s="713"/>
      <c r="DV93" s="713"/>
      <c r="DW93" s="715" t="str">
        <f t="shared" si="420"/>
        <v>0</v>
      </c>
      <c r="DX93" s="713"/>
      <c r="DY93" s="713"/>
      <c r="DZ93" s="715" t="str">
        <f t="shared" si="391"/>
        <v>0</v>
      </c>
      <c r="EA93" s="713"/>
      <c r="EB93" s="713"/>
      <c r="EC93" s="715" t="str">
        <f t="shared" si="392"/>
        <v>0</v>
      </c>
      <c r="ED93" s="713"/>
      <c r="EE93" s="713"/>
      <c r="EF93" s="715" t="str">
        <f t="shared" si="393"/>
        <v>0</v>
      </c>
      <c r="EG93" s="716"/>
      <c r="EH93" s="717"/>
      <c r="EI93" s="715" t="str">
        <f t="shared" si="394"/>
        <v>0</v>
      </c>
      <c r="EJ93" s="718"/>
      <c r="EK93" s="695"/>
      <c r="EL93" s="696"/>
      <c r="EM93" s="697" t="str">
        <f t="shared" si="395"/>
        <v>0</v>
      </c>
      <c r="EN93" s="695"/>
      <c r="EO93" s="696"/>
      <c r="EP93" s="697" t="str">
        <f t="shared" si="396"/>
        <v>0</v>
      </c>
      <c r="EQ93" s="695"/>
      <c r="ER93" s="696"/>
      <c r="ES93" s="697" t="str">
        <f t="shared" si="397"/>
        <v>0</v>
      </c>
      <c r="ET93" s="695"/>
      <c r="EU93" s="722"/>
      <c r="EV93" s="698" t="str">
        <f t="shared" si="398"/>
        <v>0</v>
      </c>
      <c r="EW93" s="699"/>
      <c r="EX93" s="700">
        <f t="shared" ca="1" si="424"/>
        <v>43188</v>
      </c>
      <c r="EY93" s="697" t="str">
        <f t="shared" ca="1" si="399"/>
        <v>0</v>
      </c>
      <c r="EZ93" s="701"/>
      <c r="FA93" s="701"/>
      <c r="FB93" s="697" t="str">
        <f t="shared" si="400"/>
        <v>0</v>
      </c>
      <c r="FC93" s="701"/>
      <c r="FD93" s="701"/>
      <c r="FE93" s="697" t="str">
        <f t="shared" si="401"/>
        <v>0</v>
      </c>
      <c r="FF93" s="701"/>
      <c r="FG93" s="701"/>
      <c r="FH93" s="697" t="str">
        <f t="shared" si="402"/>
        <v>0</v>
      </c>
      <c r="FI93" s="701"/>
      <c r="FJ93" s="701"/>
      <c r="FK93" s="697" t="str">
        <f t="shared" si="403"/>
        <v>0</v>
      </c>
      <c r="FL93" s="701"/>
      <c r="FM93" s="701"/>
      <c r="FN93" s="701"/>
      <c r="FO93" s="701"/>
      <c r="FP93" s="701">
        <f t="shared" si="404"/>
        <v>44378</v>
      </c>
      <c r="FQ93" s="699">
        <f t="shared" si="348"/>
        <v>0</v>
      </c>
      <c r="FR93" s="701"/>
      <c r="FS93" s="701">
        <f t="shared" si="405"/>
        <v>44409</v>
      </c>
      <c r="FT93" s="727"/>
      <c r="FU93" s="727"/>
      <c r="FV93" s="727"/>
      <c r="FW93" s="727"/>
      <c r="FX93" s="728">
        <f t="shared" si="406"/>
        <v>0</v>
      </c>
      <c r="FY93" s="728">
        <f t="shared" si="362"/>
        <v>1480.3</v>
      </c>
      <c r="FZ93" s="724"/>
      <c r="GA93" s="741"/>
      <c r="GB93" s="724"/>
      <c r="GC93" s="724"/>
      <c r="GD93" s="117"/>
      <c r="GE93" s="117"/>
      <c r="GF93" s="95">
        <f t="shared" si="374"/>
        <v>0</v>
      </c>
      <c r="GG93" s="70">
        <f t="shared" si="422"/>
        <v>0</v>
      </c>
      <c r="GH93" s="96">
        <f t="shared" si="328"/>
        <v>0</v>
      </c>
      <c r="GI93" s="52" t="e">
        <f t="shared" si="375"/>
        <v>#DIV/0!</v>
      </c>
      <c r="GJ93" s="52">
        <f t="shared" si="376"/>
        <v>0</v>
      </c>
      <c r="GK93" s="95"/>
      <c r="GL93" s="70"/>
      <c r="GM93" s="96">
        <f t="shared" si="331"/>
        <v>0</v>
      </c>
      <c r="GN93" s="136" t="e">
        <f t="shared" si="332"/>
        <v>#DIV/0!</v>
      </c>
      <c r="GO93" s="137">
        <v>0.4</v>
      </c>
      <c r="GP93" s="95"/>
      <c r="GQ93" s="70"/>
      <c r="GR93" s="70"/>
      <c r="GS93" s="52">
        <f t="shared" si="413"/>
        <v>0</v>
      </c>
      <c r="GT93" s="97"/>
      <c r="GU93" s="95"/>
      <c r="GV93" s="70">
        <f t="shared" si="421"/>
        <v>0</v>
      </c>
      <c r="GW93" s="89"/>
      <c r="GX93" s="89"/>
      <c r="GY93" s="97">
        <f t="shared" si="334"/>
        <v>0</v>
      </c>
      <c r="GZ93" s="889">
        <f t="shared" si="377"/>
        <v>0</v>
      </c>
      <c r="HA93" s="70"/>
      <c r="HB93" s="304"/>
      <c r="HC93" s="70"/>
      <c r="HD93" s="70"/>
      <c r="HE93" s="90" t="e">
        <f t="shared" si="345"/>
        <v>#DIV/0!</v>
      </c>
      <c r="HF93" s="95"/>
      <c r="HG93" s="70"/>
      <c r="HH93" s="91">
        <f t="shared" si="407"/>
        <v>0</v>
      </c>
      <c r="HI93" s="52">
        <f t="shared" si="346"/>
        <v>0</v>
      </c>
      <c r="HJ93" s="84">
        <f t="shared" si="423"/>
        <v>0</v>
      </c>
      <c r="HK93" s="91">
        <f t="shared" si="408"/>
        <v>0</v>
      </c>
      <c r="HL93" s="92">
        <v>6.31</v>
      </c>
      <c r="HM93" s="92"/>
      <c r="HN93" s="93"/>
      <c r="HO93" s="93"/>
      <c r="HP93" s="52">
        <f t="shared" si="409"/>
        <v>0</v>
      </c>
      <c r="HQ93" s="93"/>
      <c r="HR93" s="52">
        <f t="shared" si="410"/>
        <v>0</v>
      </c>
      <c r="HS93" s="53" t="e">
        <f t="shared" si="364"/>
        <v>#DIV/0!</v>
      </c>
      <c r="HT93" s="93"/>
      <c r="HU93" s="93"/>
      <c r="HV93" s="70"/>
      <c r="HW93" s="98">
        <f t="shared" si="365"/>
        <v>0</v>
      </c>
      <c r="HX93" s="293">
        <v>325108</v>
      </c>
      <c r="HY93" s="293">
        <f t="shared" si="344"/>
        <v>32511</v>
      </c>
      <c r="HZ93" s="341">
        <v>43026</v>
      </c>
      <c r="IA93" s="339">
        <v>32511</v>
      </c>
      <c r="IB93" s="63"/>
      <c r="IC93" s="278"/>
      <c r="ID93" s="278"/>
      <c r="IE93" s="491"/>
      <c r="IF93" s="278"/>
      <c r="IG93" s="62"/>
      <c r="IH93" s="278"/>
      <c r="II93" s="62"/>
      <c r="IJ93" s="56"/>
      <c r="IK93" s="492"/>
      <c r="IL93" s="88"/>
      <c r="IM93" s="88"/>
      <c r="IN93" s="125"/>
      <c r="IO93" s="62"/>
      <c r="IP93" s="125"/>
      <c r="IQ93" s="62"/>
      <c r="IR93" s="56"/>
      <c r="IS93" s="56"/>
      <c r="IT93" s="56"/>
      <c r="IU93" s="56"/>
      <c r="IV93" s="286"/>
      <c r="IW93" s="286"/>
      <c r="IX93" s="286"/>
      <c r="IY93" s="286"/>
      <c r="IZ93" s="286"/>
      <c r="JA93" s="286"/>
      <c r="JB93" s="297"/>
      <c r="JC93" s="122"/>
      <c r="JD93" s="295"/>
      <c r="JE93" s="122"/>
      <c r="JF93" s="122"/>
      <c r="JG93" s="295"/>
    </row>
    <row r="94" spans="1:267" ht="24.95" customHeight="1">
      <c r="A94" s="899" t="s">
        <v>631</v>
      </c>
      <c r="B94" s="56" t="s">
        <v>40</v>
      </c>
      <c r="C94" s="56" t="s">
        <v>115</v>
      </c>
      <c r="D94" s="56">
        <v>2018</v>
      </c>
      <c r="E94" s="56" t="s">
        <v>633</v>
      </c>
      <c r="F94" s="56" t="s">
        <v>564</v>
      </c>
      <c r="G94" s="56" t="s">
        <v>292</v>
      </c>
      <c r="H94" s="58" t="s">
        <v>178</v>
      </c>
      <c r="I94" s="56"/>
      <c r="J94" s="56"/>
      <c r="K94" s="272"/>
      <c r="L94" s="176"/>
      <c r="M94" s="177"/>
      <c r="N94" s="178"/>
      <c r="O94" s="217">
        <v>1627</v>
      </c>
      <c r="P94" s="217"/>
      <c r="Q94" s="217">
        <v>154050</v>
      </c>
      <c r="R94" s="217" t="e">
        <f>P94/AH94</f>
        <v>#DIV/0!</v>
      </c>
      <c r="S94" s="217">
        <f t="shared" si="426"/>
        <v>0</v>
      </c>
      <c r="T94" s="223">
        <f t="shared" ref="T94:T102" si="432">Q94/O94</f>
        <v>94.683466502765825</v>
      </c>
      <c r="U94" s="223">
        <f t="shared" ref="U94:U102" si="433">Q94/AJ94</f>
        <v>98.772160420607179</v>
      </c>
      <c r="V94" s="223">
        <f t="shared" ref="V94:V102" si="434">Q94/AD94</f>
        <v>9061.7647058823532</v>
      </c>
      <c r="W94" s="217">
        <f t="shared" ref="W94:W102" si="435">O94/AD94</f>
        <v>95.705882352941174</v>
      </c>
      <c r="X94" s="218"/>
      <c r="Y94" s="219"/>
      <c r="Z94" s="218"/>
      <c r="AA94" s="218"/>
      <c r="AB94" s="219"/>
      <c r="AC94" s="56" t="s">
        <v>15</v>
      </c>
      <c r="AD94" s="342">
        <f t="shared" si="380"/>
        <v>17</v>
      </c>
      <c r="AE94" s="56">
        <v>17</v>
      </c>
      <c r="AF94" s="67"/>
      <c r="AG94" s="67"/>
      <c r="AH94" s="133"/>
      <c r="AI94" s="60">
        <v>1598.71</v>
      </c>
      <c r="AJ94" s="94">
        <v>1559.65</v>
      </c>
      <c r="AK94" s="60">
        <f>AJ94/AD94</f>
        <v>91.744117647058829</v>
      </c>
      <c r="AL94" s="81"/>
      <c r="AM94" s="81">
        <f>4/AD94</f>
        <v>0.23529411764705882</v>
      </c>
      <c r="AN94" s="81">
        <f>6/AD94</f>
        <v>0.35294117647058826</v>
      </c>
      <c r="AO94" s="81">
        <f>5/AD94</f>
        <v>0.29411764705882354</v>
      </c>
      <c r="AP94" s="81">
        <f>2/AD94</f>
        <v>0.11764705882352941</v>
      </c>
      <c r="AQ94" s="60"/>
      <c r="AR94" s="79"/>
      <c r="AS94" s="81"/>
      <c r="AT94" s="60"/>
      <c r="AU94" s="59"/>
      <c r="AV94" s="56"/>
      <c r="AW94" s="251">
        <v>42978</v>
      </c>
      <c r="AX94" s="194"/>
      <c r="AY94" s="114"/>
      <c r="AZ94" s="114"/>
      <c r="BA94" s="99"/>
      <c r="BB94" s="214"/>
      <c r="BC94" s="101"/>
      <c r="BD94" s="101"/>
      <c r="BE94" s="214"/>
      <c r="BF94" s="101"/>
      <c r="BG94" s="170"/>
      <c r="BH94" s="213"/>
      <c r="BI94" s="170"/>
      <c r="BJ94" s="170"/>
      <c r="BK94" s="102"/>
      <c r="BL94" s="198"/>
      <c r="BM94" s="198"/>
      <c r="BN94" s="198"/>
      <c r="BO94" s="170"/>
      <c r="BP94" s="175"/>
      <c r="BQ94" s="102"/>
      <c r="BR94" s="103"/>
      <c r="BS94" s="103"/>
      <c r="BT94" s="103"/>
      <c r="BU94" s="168"/>
      <c r="BV94" s="266"/>
      <c r="BW94" s="266"/>
      <c r="BX94" s="167"/>
      <c r="BY94" s="266"/>
      <c r="BZ94" s="266"/>
      <c r="CA94" s="266"/>
      <c r="CB94" s="266" t="s">
        <v>172</v>
      </c>
      <c r="CC94" s="781"/>
      <c r="CD94" s="615"/>
      <c r="CE94" s="452">
        <v>43553</v>
      </c>
      <c r="CF94" s="445"/>
      <c r="CG94" s="600">
        <f>(DATEDIF(BB94,CE94,"d"))/30</f>
        <v>1451.7666666666667</v>
      </c>
      <c r="CH94" s="260">
        <v>14</v>
      </c>
      <c r="CI94" s="260">
        <f t="shared" si="382"/>
        <v>15</v>
      </c>
      <c r="CJ94" s="255">
        <f t="shared" si="383"/>
        <v>14</v>
      </c>
      <c r="CK94" s="255">
        <f t="shared" si="384"/>
        <v>16</v>
      </c>
      <c r="CL94" s="255">
        <f t="shared" si="385"/>
        <v>0</v>
      </c>
      <c r="CM94" s="255">
        <f t="shared" si="386"/>
        <v>1</v>
      </c>
      <c r="CN94" s="261"/>
      <c r="CO94" s="261">
        <f t="shared" si="387"/>
        <v>0</v>
      </c>
      <c r="CP94" s="256"/>
      <c r="CQ94" s="797">
        <f t="shared" si="388"/>
        <v>43980</v>
      </c>
      <c r="CR94" s="513">
        <f t="shared" si="431"/>
        <v>43980</v>
      </c>
      <c r="CS94" s="752"/>
      <c r="CT94" s="256"/>
      <c r="CU94" s="883">
        <f t="shared" si="389"/>
        <v>0</v>
      </c>
      <c r="CV94" s="256"/>
      <c r="CW94" s="750">
        <f t="shared" si="350"/>
        <v>44011</v>
      </c>
      <c r="CX94" s="612">
        <f>DATE(YEAR(CW94),MONTH(CW94)+1,DAY(CW94))</f>
        <v>44041</v>
      </c>
      <c r="CY94" s="753"/>
      <c r="CZ94" s="122"/>
      <c r="DA94" s="125"/>
      <c r="DB94" s="125"/>
      <c r="DC94" s="125"/>
      <c r="DD94" s="125"/>
      <c r="DE94" s="125"/>
      <c r="DF94" s="56"/>
      <c r="DG94" s="296">
        <f t="shared" si="390"/>
        <v>44345</v>
      </c>
      <c r="DH94" s="56"/>
      <c r="DI94" s="56"/>
      <c r="DJ94" s="56"/>
      <c r="DK94" s="56"/>
      <c r="DL94" s="56"/>
      <c r="DM94" s="56"/>
      <c r="DN94" s="56"/>
      <c r="DO94" s="56"/>
      <c r="DP94" s="56"/>
      <c r="DQ94" s="56"/>
      <c r="DR94" s="56"/>
      <c r="DS94" s="56"/>
      <c r="DT94" s="340">
        <v>42927</v>
      </c>
      <c r="DU94" s="126">
        <v>42942</v>
      </c>
      <c r="DV94" s="126">
        <v>42927</v>
      </c>
      <c r="DW94" s="691">
        <f t="shared" si="420"/>
        <v>-15</v>
      </c>
      <c r="DX94" s="126">
        <v>43140</v>
      </c>
      <c r="DY94" s="126">
        <v>43138</v>
      </c>
      <c r="DZ94" s="691">
        <f t="shared" si="391"/>
        <v>-2</v>
      </c>
      <c r="EA94" s="126">
        <v>43069</v>
      </c>
      <c r="EB94" s="126">
        <v>43073</v>
      </c>
      <c r="EC94" s="691">
        <f t="shared" si="392"/>
        <v>4</v>
      </c>
      <c r="ED94" s="713">
        <v>43125</v>
      </c>
      <c r="EE94" s="713">
        <f ca="1">IF(ED94&lt;TODAY(),TODAY(),ED94)</f>
        <v>43188</v>
      </c>
      <c r="EF94" s="715">
        <f t="shared" ca="1" si="393"/>
        <v>63</v>
      </c>
      <c r="EG94" s="713">
        <v>43245</v>
      </c>
      <c r="EH94" s="713">
        <f ca="1">IF(EG94&lt;TODAY(),TODAY(),EG94)</f>
        <v>43245</v>
      </c>
      <c r="EI94" s="715">
        <f t="shared" ca="1" si="394"/>
        <v>0</v>
      </c>
      <c r="EJ94" s="718"/>
      <c r="EK94" s="695">
        <v>43552</v>
      </c>
      <c r="EL94" s="701">
        <f ca="1">IF(EK94&lt;TODAY(),TODAY(),EK94)</f>
        <v>43552</v>
      </c>
      <c r="EM94" s="697">
        <f t="shared" ca="1" si="395"/>
        <v>0</v>
      </c>
      <c r="EN94" s="695">
        <v>43567</v>
      </c>
      <c r="EO94" s="701">
        <f ca="1">IF(EN94&lt;TODAY(),TODAY(),EN94)</f>
        <v>43567</v>
      </c>
      <c r="EP94" s="697">
        <f t="shared" ca="1" si="396"/>
        <v>0</v>
      </c>
      <c r="EQ94" s="695"/>
      <c r="ER94" s="701">
        <f ca="1">IF(EQ94&lt;TODAY(),TODAY(),EQ94)</f>
        <v>43188</v>
      </c>
      <c r="ES94" s="697" t="str">
        <f t="shared" ca="1" si="397"/>
        <v>0</v>
      </c>
      <c r="ET94" s="695"/>
      <c r="EU94" s="722">
        <f ca="1">IF(ET94&lt;TODAY(),TODAY(),ET94)</f>
        <v>43188</v>
      </c>
      <c r="EV94" s="698" t="str">
        <f t="shared" ca="1" si="398"/>
        <v>0</v>
      </c>
      <c r="EW94" s="699"/>
      <c r="EX94" s="701">
        <f t="shared" ca="1" si="424"/>
        <v>43188</v>
      </c>
      <c r="EY94" s="697" t="str">
        <f t="shared" ca="1" si="399"/>
        <v>0</v>
      </c>
      <c r="EZ94" s="701"/>
      <c r="FA94" s="701">
        <f ca="1">IF(EZ94&lt;TODAY(),TODAY(),EZ94)</f>
        <v>43188</v>
      </c>
      <c r="FB94" s="697" t="str">
        <f t="shared" ca="1" si="400"/>
        <v>0</v>
      </c>
      <c r="FC94" s="701"/>
      <c r="FD94" s="701">
        <f ca="1">IF(FC94&lt;TODAY(),TODAY(),FC94)</f>
        <v>43188</v>
      </c>
      <c r="FE94" s="697" t="str">
        <f t="shared" ca="1" si="401"/>
        <v>0</v>
      </c>
      <c r="FF94" s="701"/>
      <c r="FG94" s="701">
        <f ca="1">IF(FF94&lt;TODAY(),TODAY(),FF94)</f>
        <v>43188</v>
      </c>
      <c r="FH94" s="697" t="str">
        <f t="shared" ca="1" si="402"/>
        <v>0</v>
      </c>
      <c r="FI94" s="701"/>
      <c r="FJ94" s="701">
        <f ca="1">IF(FI94&lt;TODAY(),TODAY(),FI94)</f>
        <v>43188</v>
      </c>
      <c r="FK94" s="697" t="str">
        <f t="shared" ca="1" si="403"/>
        <v>0</v>
      </c>
      <c r="FL94" s="701"/>
      <c r="FM94" s="701"/>
      <c r="FN94" s="701"/>
      <c r="FO94" s="701">
        <v>44132</v>
      </c>
      <c r="FP94" s="701">
        <f t="shared" si="404"/>
        <v>43980</v>
      </c>
      <c r="FQ94" s="699">
        <f t="shared" ca="1" si="348"/>
        <v>18.833333333333332</v>
      </c>
      <c r="FR94" s="701">
        <v>44162</v>
      </c>
      <c r="FS94" s="701">
        <f t="shared" si="405"/>
        <v>44041</v>
      </c>
      <c r="FT94" s="727">
        <v>0</v>
      </c>
      <c r="FU94" s="727">
        <v>0</v>
      </c>
      <c r="FV94" s="727"/>
      <c r="FW94" s="727"/>
      <c r="FX94" s="728">
        <f t="shared" ca="1" si="406"/>
        <v>1.6666666666666667</v>
      </c>
      <c r="FY94" s="728">
        <f t="shared" si="362"/>
        <v>-4.0333333333333332</v>
      </c>
      <c r="FZ94" s="724"/>
      <c r="GA94" s="741"/>
      <c r="GB94" s="724" t="s">
        <v>865</v>
      </c>
      <c r="GC94" s="724"/>
      <c r="GD94" s="117"/>
      <c r="GE94" s="117"/>
      <c r="GF94" s="95">
        <f t="shared" si="374"/>
        <v>3121942</v>
      </c>
      <c r="GG94" s="70">
        <f t="shared" si="422"/>
        <v>3091517</v>
      </c>
      <c r="GH94" s="96">
        <f t="shared" si="328"/>
        <v>-30425</v>
      </c>
      <c r="GI94" s="52">
        <f t="shared" si="375"/>
        <v>1933.7572167560095</v>
      </c>
      <c r="GJ94" s="52">
        <f t="shared" si="376"/>
        <v>181853.9411764706</v>
      </c>
      <c r="GK94" s="95"/>
      <c r="GL94" s="70"/>
      <c r="GM94" s="96">
        <f t="shared" si="331"/>
        <v>0</v>
      </c>
      <c r="GN94" s="136">
        <f t="shared" si="332"/>
        <v>0</v>
      </c>
      <c r="GO94" s="137">
        <v>0.4</v>
      </c>
      <c r="GP94" s="95">
        <v>904384</v>
      </c>
      <c r="GQ94" s="70">
        <v>958221</v>
      </c>
      <c r="GR94" s="70"/>
      <c r="GS94" s="52">
        <f t="shared" ref="GS94:GS104" si="436">GQ94/AD94</f>
        <v>56365.941176470587</v>
      </c>
      <c r="GT94" s="97"/>
      <c r="GU94" s="95">
        <v>1890358</v>
      </c>
      <c r="GV94" s="70">
        <f>GW94+GX94</f>
        <v>1806096</v>
      </c>
      <c r="GW94" s="89">
        <v>267301</v>
      </c>
      <c r="GX94" s="89">
        <v>1538795</v>
      </c>
      <c r="GY94" s="97">
        <f t="shared" si="334"/>
        <v>-84262</v>
      </c>
      <c r="GZ94" s="889">
        <f t="shared" si="377"/>
        <v>106240.94117647059</v>
      </c>
      <c r="HA94" s="70"/>
      <c r="HB94" s="304">
        <v>323000</v>
      </c>
      <c r="HC94" s="70">
        <v>323000</v>
      </c>
      <c r="HD94" s="70"/>
      <c r="HE94" s="90">
        <f t="shared" si="345"/>
        <v>0.10447945135025943</v>
      </c>
      <c r="HF94" s="95"/>
      <c r="HG94" s="70">
        <v>4200</v>
      </c>
      <c r="HH94" s="91">
        <f t="shared" si="407"/>
        <v>0</v>
      </c>
      <c r="HI94" s="52">
        <f t="shared" si="346"/>
        <v>19000</v>
      </c>
      <c r="HJ94" s="84">
        <f t="shared" si="423"/>
        <v>75365.941176470587</v>
      </c>
      <c r="HK94" s="91" t="e">
        <f>HH94/AH94</f>
        <v>#DIV/0!</v>
      </c>
      <c r="HL94" s="92">
        <v>6.39</v>
      </c>
      <c r="HM94" s="92">
        <v>5.35</v>
      </c>
      <c r="HN94" s="93"/>
      <c r="HO94" s="93"/>
      <c r="HP94" s="52" t="e">
        <f>(GP94+HB94+HO94)/AH94</f>
        <v>#DIV/0!</v>
      </c>
      <c r="HQ94" s="93"/>
      <c r="HR94" s="52" t="e">
        <f>(GQ94+HC94+HO94+HQ94)/AH94</f>
        <v>#DIV/0!</v>
      </c>
      <c r="HS94" s="53">
        <f t="shared" si="364"/>
        <v>0.39314759851400188</v>
      </c>
      <c r="HT94" s="93"/>
      <c r="HU94" s="93"/>
      <c r="HV94" s="70"/>
      <c r="HW94" s="98">
        <f t="shared" si="365"/>
        <v>3121942</v>
      </c>
      <c r="HX94" s="293">
        <v>156188</v>
      </c>
      <c r="HY94" s="293">
        <f t="shared" si="344"/>
        <v>46856</v>
      </c>
      <c r="HZ94" s="250">
        <v>42877</v>
      </c>
      <c r="IA94" s="409">
        <v>15110</v>
      </c>
      <c r="IB94" s="595">
        <v>43090</v>
      </c>
      <c r="IC94" s="338">
        <v>7809</v>
      </c>
      <c r="ID94" s="200">
        <v>43073</v>
      </c>
      <c r="IE94" s="491">
        <v>8318</v>
      </c>
      <c r="IF94" s="194">
        <v>43145</v>
      </c>
      <c r="IG94" s="62">
        <v>15619</v>
      </c>
      <c r="IH94" s="194"/>
      <c r="II94" s="62"/>
      <c r="IJ94" s="56"/>
      <c r="IK94" s="492"/>
      <c r="IL94" s="595"/>
      <c r="IM94" s="338"/>
      <c r="IN94" s="125"/>
      <c r="IO94" s="491"/>
      <c r="IP94" s="125"/>
      <c r="IQ94" s="491"/>
      <c r="IR94" s="56"/>
      <c r="IS94" s="56"/>
      <c r="IT94" s="56"/>
      <c r="IU94" s="56"/>
      <c r="IV94" s="56"/>
      <c r="IW94" s="56"/>
      <c r="IX94" s="56"/>
      <c r="IY94" s="56"/>
      <c r="IZ94" s="56"/>
      <c r="JA94" s="56"/>
      <c r="JB94" s="339">
        <v>15619</v>
      </c>
      <c r="JC94" s="296"/>
      <c r="JD94" s="56"/>
      <c r="JE94" s="296"/>
      <c r="JF94" s="296"/>
      <c r="JG94" s="56"/>
    </row>
    <row r="95" spans="1:267" ht="24.95" customHeight="1">
      <c r="A95" s="88" t="s">
        <v>946</v>
      </c>
      <c r="B95" s="56" t="s">
        <v>35</v>
      </c>
      <c r="C95" s="56" t="s">
        <v>113</v>
      </c>
      <c r="D95" s="56">
        <v>2019</v>
      </c>
      <c r="E95" s="56"/>
      <c r="F95" s="56"/>
      <c r="G95" s="56"/>
      <c r="H95" s="58"/>
      <c r="I95" s="56"/>
      <c r="J95" s="56" t="s">
        <v>733</v>
      </c>
      <c r="K95" s="272"/>
      <c r="L95" s="176" t="s">
        <v>710</v>
      </c>
      <c r="M95" s="177"/>
      <c r="N95" s="178"/>
      <c r="O95" s="217"/>
      <c r="P95" s="217"/>
      <c r="Q95" s="217"/>
      <c r="R95" s="217"/>
      <c r="S95" s="217"/>
      <c r="T95" s="223"/>
      <c r="U95" s="223"/>
      <c r="V95" s="223"/>
      <c r="W95" s="217"/>
      <c r="X95" s="218"/>
      <c r="Y95" s="219"/>
      <c r="Z95" s="218"/>
      <c r="AA95" s="218"/>
      <c r="AB95" s="219"/>
      <c r="AC95" s="56" t="s">
        <v>480</v>
      </c>
      <c r="AD95" s="342">
        <f t="shared" si="380"/>
        <v>19</v>
      </c>
      <c r="AE95" s="67"/>
      <c r="AF95" s="67"/>
      <c r="AG95" s="56">
        <v>19</v>
      </c>
      <c r="AH95" s="133"/>
      <c r="AI95" s="60"/>
      <c r="AJ95" s="94"/>
      <c r="AK95" s="60"/>
      <c r="AL95" s="81"/>
      <c r="AM95" s="81"/>
      <c r="AN95" s="81"/>
      <c r="AO95" s="81"/>
      <c r="AP95" s="81"/>
      <c r="AQ95" s="60"/>
      <c r="AR95" s="79"/>
      <c r="AS95" s="81"/>
      <c r="AT95" s="60"/>
      <c r="AU95" s="59"/>
      <c r="AV95" s="56"/>
      <c r="AW95" s="251"/>
      <c r="AX95" s="194"/>
      <c r="AY95" s="114"/>
      <c r="AZ95" s="114"/>
      <c r="BA95" s="99"/>
      <c r="BB95" s="214"/>
      <c r="BC95" s="101"/>
      <c r="BD95" s="101"/>
      <c r="BE95" s="214"/>
      <c r="BF95" s="101"/>
      <c r="BG95" s="170"/>
      <c r="BH95" s="213"/>
      <c r="BI95" s="170"/>
      <c r="BJ95" s="170"/>
      <c r="BK95" s="102"/>
      <c r="BL95" s="198"/>
      <c r="BM95" s="198"/>
      <c r="BN95" s="198"/>
      <c r="BO95" s="170"/>
      <c r="BP95" s="175"/>
      <c r="BQ95" s="102"/>
      <c r="BR95" s="103"/>
      <c r="BS95" s="103"/>
      <c r="BT95" s="103"/>
      <c r="BU95" s="168"/>
      <c r="BV95" s="266"/>
      <c r="BW95" s="266"/>
      <c r="BX95" s="167"/>
      <c r="BY95" s="266"/>
      <c r="BZ95" s="266"/>
      <c r="CA95" s="266"/>
      <c r="CB95" s="266"/>
      <c r="CC95" s="781"/>
      <c r="CD95" s="615"/>
      <c r="CE95" s="452"/>
      <c r="CF95" s="445"/>
      <c r="CG95" s="600"/>
      <c r="CH95" s="260"/>
      <c r="CI95" s="260"/>
      <c r="CJ95" s="255"/>
      <c r="CK95" s="255"/>
      <c r="CL95" s="255"/>
      <c r="CM95" s="255"/>
      <c r="CN95" s="261"/>
      <c r="CO95" s="261"/>
      <c r="CP95" s="256"/>
      <c r="CQ95" s="797"/>
      <c r="CR95" s="513"/>
      <c r="CS95" s="752"/>
      <c r="CT95" s="256"/>
      <c r="CU95" s="883"/>
      <c r="CV95" s="256"/>
      <c r="CW95" s="750"/>
      <c r="CX95" s="612"/>
      <c r="CY95" s="753"/>
      <c r="CZ95" s="122"/>
      <c r="DA95" s="125"/>
      <c r="DB95" s="125"/>
      <c r="DC95" s="125"/>
      <c r="DD95" s="125"/>
      <c r="DE95" s="125"/>
      <c r="DF95" s="56"/>
      <c r="DG95" s="296"/>
      <c r="DH95" s="56"/>
      <c r="DI95" s="56"/>
      <c r="DJ95" s="56"/>
      <c r="DK95" s="56"/>
      <c r="DL95" s="56"/>
      <c r="DM95" s="56"/>
      <c r="DN95" s="56"/>
      <c r="DO95" s="56"/>
      <c r="DP95" s="56"/>
      <c r="DQ95" s="56"/>
      <c r="DR95" s="56"/>
      <c r="DS95" s="56"/>
      <c r="DT95" s="340"/>
      <c r="DU95" s="126"/>
      <c r="DV95" s="126"/>
      <c r="DW95" s="691"/>
      <c r="DX95" s="126"/>
      <c r="DY95" s="126"/>
      <c r="DZ95" s="691"/>
      <c r="EA95" s="126"/>
      <c r="EB95" s="126"/>
      <c r="EC95" s="691"/>
      <c r="ED95" s="713"/>
      <c r="EE95" s="713"/>
      <c r="EF95" s="715"/>
      <c r="EG95" s="713"/>
      <c r="EH95" s="713"/>
      <c r="EI95" s="715"/>
      <c r="EJ95" s="718"/>
      <c r="EK95" s="695"/>
      <c r="EL95" s="701"/>
      <c r="EM95" s="697"/>
      <c r="EN95" s="695"/>
      <c r="EO95" s="701"/>
      <c r="EP95" s="697"/>
      <c r="EQ95" s="695"/>
      <c r="ER95" s="701"/>
      <c r="ES95" s="697"/>
      <c r="ET95" s="695"/>
      <c r="EU95" s="722"/>
      <c r="EV95" s="698"/>
      <c r="EW95" s="699"/>
      <c r="EX95" s="701"/>
      <c r="EY95" s="697"/>
      <c r="EZ95" s="701"/>
      <c r="FA95" s="701"/>
      <c r="FB95" s="697"/>
      <c r="FC95" s="701"/>
      <c r="FD95" s="701"/>
      <c r="FE95" s="697"/>
      <c r="FF95" s="701"/>
      <c r="FG95" s="701"/>
      <c r="FH95" s="697"/>
      <c r="FI95" s="701"/>
      <c r="FJ95" s="701"/>
      <c r="FK95" s="697"/>
      <c r="FL95" s="701"/>
      <c r="FM95" s="701"/>
      <c r="FN95" s="701"/>
      <c r="FO95" s="701"/>
      <c r="FP95" s="701"/>
      <c r="FQ95" s="699"/>
      <c r="FR95" s="701"/>
      <c r="FS95" s="701"/>
      <c r="FT95" s="727"/>
      <c r="FU95" s="727"/>
      <c r="FV95" s="727"/>
      <c r="FW95" s="727"/>
      <c r="FX95" s="728"/>
      <c r="FY95" s="728"/>
      <c r="FZ95" s="724"/>
      <c r="GA95" s="741"/>
      <c r="GB95" s="724"/>
      <c r="GC95" s="724"/>
      <c r="GD95" s="117"/>
      <c r="GE95" s="117"/>
      <c r="GF95" s="95"/>
      <c r="GG95" s="70"/>
      <c r="GH95" s="96"/>
      <c r="GI95" s="52"/>
      <c r="GJ95" s="52"/>
      <c r="GK95" s="95"/>
      <c r="GL95" s="70"/>
      <c r="GM95" s="96"/>
      <c r="GN95" s="136"/>
      <c r="GO95" s="137"/>
      <c r="GP95" s="95"/>
      <c r="GQ95" s="70"/>
      <c r="GR95" s="70"/>
      <c r="GS95" s="52"/>
      <c r="GT95" s="97"/>
      <c r="GU95" s="95"/>
      <c r="GV95" s="70"/>
      <c r="GW95" s="89"/>
      <c r="GX95" s="89"/>
      <c r="GY95" s="97"/>
      <c r="GZ95" s="889"/>
      <c r="HA95" s="70"/>
      <c r="HB95" s="304"/>
      <c r="HC95" s="70"/>
      <c r="HD95" s="70"/>
      <c r="HE95" s="90"/>
      <c r="HF95" s="95"/>
      <c r="HG95" s="70"/>
      <c r="HH95" s="91"/>
      <c r="HI95" s="52"/>
      <c r="HJ95" s="84"/>
      <c r="HK95" s="91"/>
      <c r="HL95" s="92"/>
      <c r="HM95" s="92"/>
      <c r="HN95" s="93"/>
      <c r="HO95" s="93"/>
      <c r="HP95" s="52"/>
      <c r="HQ95" s="93"/>
      <c r="HR95" s="52"/>
      <c r="HS95" s="53"/>
      <c r="HT95" s="93"/>
      <c r="HU95" s="93"/>
      <c r="HV95" s="70"/>
      <c r="HW95" s="98"/>
      <c r="HX95" s="293"/>
      <c r="HY95" s="293"/>
      <c r="HZ95" s="250"/>
      <c r="IA95" s="409"/>
      <c r="IB95" s="595"/>
      <c r="IC95" s="338"/>
      <c r="ID95" s="200"/>
      <c r="IE95" s="491"/>
      <c r="IF95" s="194"/>
      <c r="IG95" s="62"/>
      <c r="IH95" s="194"/>
      <c r="II95" s="62"/>
      <c r="IJ95" s="56"/>
      <c r="IK95" s="492"/>
      <c r="IL95" s="595"/>
      <c r="IM95" s="338"/>
      <c r="IN95" s="125"/>
      <c r="IO95" s="491"/>
      <c r="IP95" s="125"/>
      <c r="IQ95" s="491"/>
      <c r="IR95" s="56"/>
      <c r="IS95" s="56"/>
      <c r="IT95" s="56"/>
      <c r="IU95" s="56"/>
      <c r="IV95" s="56"/>
      <c r="IW95" s="56"/>
      <c r="IX95" s="56"/>
      <c r="IY95" s="56"/>
      <c r="IZ95" s="56"/>
      <c r="JA95" s="56"/>
      <c r="JB95" s="339"/>
      <c r="JC95" s="296"/>
      <c r="JD95" s="56"/>
      <c r="JE95" s="296"/>
      <c r="JF95" s="296"/>
      <c r="JG95" s="56"/>
    </row>
    <row r="96" spans="1:267" ht="35.1" customHeight="1">
      <c r="A96" s="742" t="s">
        <v>927</v>
      </c>
      <c r="B96" s="56" t="s">
        <v>35</v>
      </c>
      <c r="C96" s="56" t="s">
        <v>113</v>
      </c>
      <c r="D96" s="56">
        <v>2019</v>
      </c>
      <c r="E96" s="56" t="s">
        <v>768</v>
      </c>
      <c r="F96" s="56" t="s">
        <v>419</v>
      </c>
      <c r="G96" s="56" t="s">
        <v>292</v>
      </c>
      <c r="H96" s="58" t="s">
        <v>248</v>
      </c>
      <c r="I96" s="56"/>
      <c r="J96" s="56" t="s">
        <v>759</v>
      </c>
      <c r="K96" s="272" t="s">
        <v>771</v>
      </c>
      <c r="L96" s="176"/>
      <c r="M96" s="177"/>
      <c r="N96" s="329" t="s">
        <v>770</v>
      </c>
      <c r="O96" s="217">
        <v>1597</v>
      </c>
      <c r="P96" s="217"/>
      <c r="Q96" s="217"/>
      <c r="R96" s="217"/>
      <c r="S96" s="217">
        <f t="shared" si="426"/>
        <v>0</v>
      </c>
      <c r="T96" s="223">
        <f t="shared" si="432"/>
        <v>0</v>
      </c>
      <c r="U96" s="223" t="e">
        <f t="shared" si="433"/>
        <v>#DIV/0!</v>
      </c>
      <c r="V96" s="223">
        <f t="shared" si="434"/>
        <v>0</v>
      </c>
      <c r="W96" s="217">
        <f t="shared" si="435"/>
        <v>53.233333333333334</v>
      </c>
      <c r="X96" s="218"/>
      <c r="Y96" s="219"/>
      <c r="Z96" s="218"/>
      <c r="AA96" s="218"/>
      <c r="AB96" s="219"/>
      <c r="AC96" s="56" t="s">
        <v>480</v>
      </c>
      <c r="AD96" s="342">
        <f t="shared" si="380"/>
        <v>30</v>
      </c>
      <c r="AE96" s="119"/>
      <c r="AF96" s="67"/>
      <c r="AG96" s="56">
        <v>30</v>
      </c>
      <c r="AH96" s="67"/>
      <c r="AI96" s="60">
        <v>2237</v>
      </c>
      <c r="AJ96" s="94"/>
      <c r="AK96" s="10"/>
      <c r="AL96" s="81"/>
      <c r="AM96" s="81"/>
      <c r="AN96" s="81"/>
      <c r="AO96" s="81"/>
      <c r="AP96" s="81"/>
      <c r="AQ96" s="60"/>
      <c r="AR96" s="79"/>
      <c r="AS96" s="81"/>
      <c r="AT96" s="60"/>
      <c r="AU96" s="59"/>
      <c r="AV96" s="56"/>
      <c r="AW96" s="250"/>
      <c r="AX96" s="250"/>
      <c r="AY96" s="114"/>
      <c r="AZ96" s="114"/>
      <c r="BA96" s="99"/>
      <c r="BB96" s="214"/>
      <c r="BC96" s="101"/>
      <c r="BD96" s="101"/>
      <c r="BE96" s="214"/>
      <c r="BF96" s="101"/>
      <c r="BG96" s="170"/>
      <c r="BH96" s="213"/>
      <c r="BI96" s="170"/>
      <c r="BJ96" s="170"/>
      <c r="BK96" s="102"/>
      <c r="BL96" s="198"/>
      <c r="BM96" s="198"/>
      <c r="BN96" s="198"/>
      <c r="BO96" s="170"/>
      <c r="BP96" s="175"/>
      <c r="BQ96" s="102"/>
      <c r="BR96" s="103"/>
      <c r="BS96" s="103"/>
      <c r="BT96" s="103"/>
      <c r="BU96" s="168"/>
      <c r="BV96" s="266"/>
      <c r="BW96" s="266"/>
      <c r="BX96" s="167"/>
      <c r="BY96" s="266"/>
      <c r="BZ96" s="266"/>
      <c r="CA96" s="266"/>
      <c r="CB96" s="266" t="s">
        <v>172</v>
      </c>
      <c r="CC96" s="781"/>
      <c r="CD96" s="615"/>
      <c r="CE96" s="452">
        <v>43926</v>
      </c>
      <c r="CF96" s="445"/>
      <c r="CG96" s="600">
        <f t="shared" si="381"/>
        <v>1464.2</v>
      </c>
      <c r="CH96" s="260">
        <v>16</v>
      </c>
      <c r="CI96" s="260">
        <f t="shared" si="382"/>
        <v>17</v>
      </c>
      <c r="CJ96" s="255">
        <f t="shared" si="383"/>
        <v>16</v>
      </c>
      <c r="CK96" s="255">
        <f t="shared" si="384"/>
        <v>17</v>
      </c>
      <c r="CL96" s="255">
        <f t="shared" si="385"/>
        <v>0</v>
      </c>
      <c r="CM96" s="255">
        <f t="shared" si="386"/>
        <v>0</v>
      </c>
      <c r="CN96" s="261"/>
      <c r="CO96" s="261">
        <f t="shared" si="387"/>
        <v>0</v>
      </c>
      <c r="CP96" s="256"/>
      <c r="CQ96" s="797">
        <f t="shared" si="388"/>
        <v>44413</v>
      </c>
      <c r="CR96" s="454">
        <f t="shared" si="431"/>
        <v>44413</v>
      </c>
      <c r="CS96" s="752">
        <f>DATE(YEAR(CA96)+2,MONTH(CA96),DAY(CA96))</f>
        <v>731</v>
      </c>
      <c r="CT96" s="256"/>
      <c r="CU96" s="883">
        <f t="shared" si="389"/>
        <v>0</v>
      </c>
      <c r="CV96" s="256"/>
      <c r="CW96" s="749">
        <f t="shared" si="350"/>
        <v>44444</v>
      </c>
      <c r="CX96" s="612">
        <f>CW96</f>
        <v>44444</v>
      </c>
      <c r="CY96" s="753"/>
      <c r="CZ96" s="122"/>
      <c r="DA96" s="125"/>
      <c r="DB96" s="125"/>
      <c r="DC96" s="125"/>
      <c r="DD96" s="125"/>
      <c r="DE96" s="125"/>
      <c r="DF96" s="56"/>
      <c r="DG96" s="296">
        <f t="shared" si="390"/>
        <v>44778</v>
      </c>
      <c r="DH96" s="56"/>
      <c r="DI96" s="56"/>
      <c r="DJ96" s="56"/>
      <c r="DK96" s="56"/>
      <c r="DL96" s="56"/>
      <c r="DM96" s="56"/>
      <c r="DN96" s="56"/>
      <c r="DO96" s="56"/>
      <c r="DP96" s="56"/>
      <c r="DQ96" s="56"/>
      <c r="DR96" s="56"/>
      <c r="DS96" s="56"/>
      <c r="DT96" s="710">
        <v>43150</v>
      </c>
      <c r="DU96" s="713">
        <v>43151</v>
      </c>
      <c r="DV96" s="713"/>
      <c r="DW96" s="715" t="str">
        <f t="shared" si="420"/>
        <v>0</v>
      </c>
      <c r="DX96" s="713">
        <v>43266</v>
      </c>
      <c r="DY96" s="713">
        <v>43266</v>
      </c>
      <c r="DZ96" s="715">
        <f t="shared" si="391"/>
        <v>0</v>
      </c>
      <c r="EA96" s="713">
        <v>43245</v>
      </c>
      <c r="EB96" s="713">
        <f ca="1">IF(EA96&lt;TODAY(),TODAY(),EA96)</f>
        <v>43245</v>
      </c>
      <c r="EC96" s="715">
        <f t="shared" ca="1" si="392"/>
        <v>0</v>
      </c>
      <c r="ED96" s="713">
        <v>43326</v>
      </c>
      <c r="EE96" s="713">
        <f ca="1">IF(ED96&lt;TODAY(),TODAY(),ED96)</f>
        <v>43326</v>
      </c>
      <c r="EF96" s="715">
        <f t="shared" ca="1" si="393"/>
        <v>0</v>
      </c>
      <c r="EG96" s="713">
        <v>43388</v>
      </c>
      <c r="EH96" s="713">
        <f ca="1">IF(EG96&lt;TODAY(),TODAY(),EG96)</f>
        <v>43388</v>
      </c>
      <c r="EI96" s="715">
        <f t="shared" ca="1" si="394"/>
        <v>0</v>
      </c>
      <c r="EJ96" s="714"/>
      <c r="EK96" s="695">
        <v>43676</v>
      </c>
      <c r="EL96" s="701">
        <f ca="1">IF(EK96&lt;TODAY(),TODAY(),EK96)</f>
        <v>43676</v>
      </c>
      <c r="EM96" s="697">
        <f t="shared" ca="1" si="395"/>
        <v>0</v>
      </c>
      <c r="EN96" s="695">
        <v>43691</v>
      </c>
      <c r="EO96" s="701">
        <f ca="1">IF(EN96&lt;TODAY(),TODAY(),EN96)</f>
        <v>43691</v>
      </c>
      <c r="EP96" s="697">
        <f t="shared" ca="1" si="396"/>
        <v>0</v>
      </c>
      <c r="EQ96" s="695"/>
      <c r="ER96" s="701">
        <f ca="1">IF(EQ96&lt;TODAY(),TODAY(),EQ96)</f>
        <v>43188</v>
      </c>
      <c r="ES96" s="697" t="str">
        <f t="shared" ca="1" si="397"/>
        <v>0</v>
      </c>
      <c r="ET96" s="695"/>
      <c r="EU96" s="722">
        <f ca="1">IF(ET96&lt;TODAY(),TODAY(),ET96)</f>
        <v>43188</v>
      </c>
      <c r="EV96" s="698" t="str">
        <f t="shared" ca="1" si="398"/>
        <v>0</v>
      </c>
      <c r="EW96" s="699"/>
      <c r="EX96" s="701">
        <f t="shared" ca="1" si="424"/>
        <v>43188</v>
      </c>
      <c r="EY96" s="697" t="str">
        <f t="shared" ca="1" si="399"/>
        <v>0</v>
      </c>
      <c r="EZ96" s="701"/>
      <c r="FA96" s="701">
        <f ca="1">IF(EZ96&lt;TODAY(),TODAY(),EZ96)</f>
        <v>43188</v>
      </c>
      <c r="FB96" s="697" t="str">
        <f t="shared" ca="1" si="400"/>
        <v>0</v>
      </c>
      <c r="FC96" s="701"/>
      <c r="FD96" s="701">
        <f ca="1">IF(FC96&lt;TODAY(),TODAY(),FC96)</f>
        <v>43188</v>
      </c>
      <c r="FE96" s="697" t="str">
        <f t="shared" ca="1" si="401"/>
        <v>0</v>
      </c>
      <c r="FF96" s="701"/>
      <c r="FG96" s="701">
        <f ca="1">IF(FF96&lt;TODAY(),TODAY(),FF96)</f>
        <v>43188</v>
      </c>
      <c r="FH96" s="697" t="str">
        <f t="shared" ca="1" si="402"/>
        <v>0</v>
      </c>
      <c r="FI96" s="701"/>
      <c r="FJ96" s="701">
        <f ca="1">IF(FI96&lt;TODAY(),TODAY(),FI96)</f>
        <v>43188</v>
      </c>
      <c r="FK96" s="697" t="str">
        <f t="shared" ca="1" si="403"/>
        <v>0</v>
      </c>
      <c r="FL96" s="701"/>
      <c r="FM96" s="701"/>
      <c r="FN96" s="701"/>
      <c r="FO96" s="701">
        <v>44291</v>
      </c>
      <c r="FP96" s="701">
        <f t="shared" si="404"/>
        <v>44413</v>
      </c>
      <c r="FQ96" s="699">
        <f t="shared" ca="1" si="348"/>
        <v>20</v>
      </c>
      <c r="FR96" s="701">
        <v>44321</v>
      </c>
      <c r="FS96" s="701">
        <f t="shared" si="405"/>
        <v>44444</v>
      </c>
      <c r="FT96" s="727">
        <v>0</v>
      </c>
      <c r="FU96" s="727">
        <v>0</v>
      </c>
      <c r="FV96" s="727"/>
      <c r="FW96" s="727"/>
      <c r="FX96" s="728">
        <f t="shared" ca="1" si="406"/>
        <v>0</v>
      </c>
      <c r="FY96" s="728">
        <f t="shared" si="362"/>
        <v>4.0999999999999996</v>
      </c>
      <c r="FZ96" s="724"/>
      <c r="GA96" s="741"/>
      <c r="GB96" s="724" t="s">
        <v>866</v>
      </c>
      <c r="GC96" s="724"/>
      <c r="GD96" s="117"/>
      <c r="GE96" s="117"/>
      <c r="GF96" s="95">
        <f t="shared" si="374"/>
        <v>5276624</v>
      </c>
      <c r="GG96" s="70">
        <f t="shared" si="422"/>
        <v>0</v>
      </c>
      <c r="GH96" s="96">
        <f t="shared" si="328"/>
        <v>-5276624</v>
      </c>
      <c r="GI96" s="52">
        <f t="shared" ref="GI96:GI103" si="437">GF96/AI96</f>
        <v>2358.7948144836837</v>
      </c>
      <c r="GJ96" s="52">
        <f t="shared" ref="GJ96:GJ103" si="438">GF96/AD96</f>
        <v>175887.46666666667</v>
      </c>
      <c r="GK96" s="95"/>
      <c r="GL96" s="70"/>
      <c r="GM96" s="96">
        <f t="shared" si="331"/>
        <v>0</v>
      </c>
      <c r="GN96" s="136" t="e">
        <f t="shared" si="332"/>
        <v>#DIV/0!</v>
      </c>
      <c r="GO96" s="137">
        <v>0.4</v>
      </c>
      <c r="GP96" s="95">
        <v>1821843</v>
      </c>
      <c r="GQ96" s="70"/>
      <c r="GR96" s="70"/>
      <c r="GS96" s="52">
        <f t="shared" si="436"/>
        <v>0</v>
      </c>
      <c r="GT96" s="97"/>
      <c r="GU96" s="95">
        <v>3454781</v>
      </c>
      <c r="GV96" s="70">
        <f t="shared" ref="GV96:GV103" si="439">GW96+GX96</f>
        <v>0</v>
      </c>
      <c r="GW96" s="89"/>
      <c r="GX96" s="89"/>
      <c r="GY96" s="97">
        <f t="shared" si="334"/>
        <v>-3454781</v>
      </c>
      <c r="GZ96" s="889">
        <f t="shared" si="377"/>
        <v>0</v>
      </c>
      <c r="HA96" s="70"/>
      <c r="HB96" s="95"/>
      <c r="HC96" s="70"/>
      <c r="HD96" s="70"/>
      <c r="HE96" s="90" t="e">
        <f t="shared" si="345"/>
        <v>#DIV/0!</v>
      </c>
      <c r="HF96" s="326"/>
      <c r="HG96" s="70"/>
      <c r="HH96" s="91">
        <f t="shared" si="407"/>
        <v>0</v>
      </c>
      <c r="HI96" s="52">
        <f t="shared" si="346"/>
        <v>0</v>
      </c>
      <c r="HJ96" s="84">
        <f t="shared" si="423"/>
        <v>0</v>
      </c>
      <c r="HK96" s="91">
        <f t="shared" ref="HK96:HK103" si="440">HH96/AD96</f>
        <v>0</v>
      </c>
      <c r="HL96" s="92">
        <v>6.31</v>
      </c>
      <c r="HM96" s="92"/>
      <c r="HN96" s="93"/>
      <c r="HO96" s="93"/>
      <c r="HP96" s="52">
        <f t="shared" ref="HP96:HP103" si="441">(GP96+HB96+HO96)/AD96</f>
        <v>60728.1</v>
      </c>
      <c r="HQ96" s="93"/>
      <c r="HR96" s="52">
        <f t="shared" ref="HR96:HR103" si="442">(GQ96+HC96+HO96+HQ96)/AD96</f>
        <v>0</v>
      </c>
      <c r="HS96" s="53">
        <f t="shared" si="364"/>
        <v>0.34526678421657486</v>
      </c>
      <c r="HT96" s="93"/>
      <c r="HU96" s="93"/>
      <c r="HV96" s="70"/>
      <c r="HW96" s="98">
        <f t="shared" si="365"/>
        <v>5276624</v>
      </c>
      <c r="HX96" s="293"/>
      <c r="HY96" s="293">
        <f t="shared" si="344"/>
        <v>0</v>
      </c>
      <c r="HZ96" s="118"/>
      <c r="IA96" s="243"/>
      <c r="IB96" s="243"/>
      <c r="IC96" s="118"/>
      <c r="ID96" s="118"/>
      <c r="IE96" s="243"/>
      <c r="IF96" s="118"/>
      <c r="IG96" s="243"/>
      <c r="IH96" s="118"/>
      <c r="II96" s="243"/>
      <c r="IJ96" s="119"/>
      <c r="IK96" s="403"/>
      <c r="IL96" s="338"/>
      <c r="IM96" s="338"/>
      <c r="IN96" s="292"/>
      <c r="IO96" s="301"/>
      <c r="IP96" s="292"/>
      <c r="IQ96" s="301"/>
      <c r="IR96" s="323"/>
      <c r="IS96" s="323"/>
      <c r="IT96" s="323"/>
      <c r="IU96" s="323"/>
      <c r="IV96" s="286"/>
      <c r="IW96" s="286"/>
      <c r="IX96" s="286"/>
      <c r="IY96" s="286"/>
      <c r="IZ96" s="286"/>
      <c r="JA96" s="286"/>
      <c r="JB96" s="243"/>
      <c r="JC96" s="126"/>
      <c r="JD96" s="119"/>
      <c r="JE96" s="126"/>
      <c r="JF96" s="126"/>
      <c r="JG96" s="119"/>
    </row>
    <row r="97" spans="1:267" ht="24.95" customHeight="1">
      <c r="A97" s="88" t="s">
        <v>659</v>
      </c>
      <c r="B97" s="56" t="s">
        <v>31</v>
      </c>
      <c r="C97" s="56" t="s">
        <v>113</v>
      </c>
      <c r="D97" s="56">
        <v>2019</v>
      </c>
      <c r="E97" s="56" t="s">
        <v>673</v>
      </c>
      <c r="F97" s="56" t="s">
        <v>147</v>
      </c>
      <c r="G97" s="56"/>
      <c r="H97" s="56" t="s">
        <v>248</v>
      </c>
      <c r="I97" s="56"/>
      <c r="J97" s="58" t="s">
        <v>660</v>
      </c>
      <c r="K97" s="272" t="s">
        <v>674</v>
      </c>
      <c r="L97" s="176"/>
      <c r="M97" s="177"/>
      <c r="N97" s="178"/>
      <c r="O97" s="217">
        <v>4233</v>
      </c>
      <c r="P97" s="217">
        <v>326183.14657415438</v>
      </c>
      <c r="Q97" s="217"/>
      <c r="R97" s="217">
        <f>P97/AD97</f>
        <v>17167.534030218652</v>
      </c>
      <c r="S97" s="217">
        <f t="shared" si="426"/>
        <v>77.05720448243666</v>
      </c>
      <c r="T97" s="223">
        <f t="shared" si="432"/>
        <v>0</v>
      </c>
      <c r="U97" s="223" t="e">
        <f t="shared" si="433"/>
        <v>#DIV/0!</v>
      </c>
      <c r="V97" s="223">
        <f t="shared" si="434"/>
        <v>0</v>
      </c>
      <c r="W97" s="217">
        <f t="shared" si="435"/>
        <v>222.78947368421052</v>
      </c>
      <c r="X97" s="218"/>
      <c r="Y97" s="219">
        <f t="shared" ref="Y97:Y104" si="443">AJ97/O97</f>
        <v>0</v>
      </c>
      <c r="Z97" s="218" t="s">
        <v>210</v>
      </c>
      <c r="AA97" s="218">
        <v>60</v>
      </c>
      <c r="AB97" s="219"/>
      <c r="AC97" s="56" t="s">
        <v>16</v>
      </c>
      <c r="AD97" s="342">
        <f t="shared" si="380"/>
        <v>19</v>
      </c>
      <c r="AE97" s="67"/>
      <c r="AF97" s="56">
        <v>19</v>
      </c>
      <c r="AG97" s="56"/>
      <c r="AH97" s="56"/>
      <c r="AI97" s="60"/>
      <c r="AJ97" s="94"/>
      <c r="AK97" s="10">
        <f>AJ97/AD97</f>
        <v>0</v>
      </c>
      <c r="AL97" s="81"/>
      <c r="AM97" s="81"/>
      <c r="AN97" s="81"/>
      <c r="AO97" s="81"/>
      <c r="AP97" s="81"/>
      <c r="AQ97" s="60"/>
      <c r="AR97" s="79"/>
      <c r="AS97" s="81"/>
      <c r="AT97" s="60"/>
      <c r="AU97" s="59" t="s">
        <v>626</v>
      </c>
      <c r="AV97" s="56"/>
      <c r="AW97" s="250"/>
      <c r="AX97" s="56"/>
      <c r="AY97" s="114"/>
      <c r="AZ97" s="114"/>
      <c r="BA97" s="99"/>
      <c r="BB97" s="214"/>
      <c r="BC97" s="101"/>
      <c r="BD97" s="101"/>
      <c r="BE97" s="214"/>
      <c r="BF97" s="101"/>
      <c r="BG97" s="170"/>
      <c r="BH97" s="213"/>
      <c r="BI97" s="170"/>
      <c r="BJ97" s="170"/>
      <c r="BK97" s="102"/>
      <c r="BL97" s="198">
        <f>DATE(YEAR(BK97),MONTH(BK97)+24,DAY(BK97))</f>
        <v>731</v>
      </c>
      <c r="BM97" s="198">
        <f>DATE(YEAR(BK97),MONTH(BK97)+36,DAY(BK97))</f>
        <v>1096</v>
      </c>
      <c r="BN97" s="198"/>
      <c r="BO97" s="170"/>
      <c r="BP97" s="175"/>
      <c r="BQ97" s="102"/>
      <c r="BR97" s="103"/>
      <c r="BS97" s="103"/>
      <c r="BT97" s="103"/>
      <c r="BU97" s="168"/>
      <c r="BV97" s="266"/>
      <c r="BW97" s="266"/>
      <c r="BX97" s="167"/>
      <c r="BY97" s="266"/>
      <c r="BZ97" s="266"/>
      <c r="CA97" s="266"/>
      <c r="CB97" s="266" t="s">
        <v>172</v>
      </c>
      <c r="CC97" s="781"/>
      <c r="CD97" s="615"/>
      <c r="CE97" s="452">
        <v>44013</v>
      </c>
      <c r="CF97" s="445"/>
      <c r="CG97" s="600">
        <f t="shared" si="381"/>
        <v>1467.1</v>
      </c>
      <c r="CH97" s="260">
        <v>14</v>
      </c>
      <c r="CI97" s="260">
        <f t="shared" si="382"/>
        <v>15</v>
      </c>
      <c r="CJ97" s="255">
        <f t="shared" si="383"/>
        <v>14</v>
      </c>
      <c r="CK97" s="255">
        <f t="shared" si="384"/>
        <v>15</v>
      </c>
      <c r="CL97" s="255">
        <f t="shared" si="385"/>
        <v>0</v>
      </c>
      <c r="CM97" s="255">
        <f t="shared" si="386"/>
        <v>0</v>
      </c>
      <c r="CN97" s="261"/>
      <c r="CO97" s="261">
        <f t="shared" si="387"/>
        <v>0</v>
      </c>
      <c r="CP97" s="256"/>
      <c r="CQ97" s="797">
        <f t="shared" si="388"/>
        <v>44440</v>
      </c>
      <c r="CR97" s="454">
        <f t="shared" si="431"/>
        <v>44440</v>
      </c>
      <c r="CS97" s="752">
        <f>DATE(YEAR(CA97)+2,MONTH(CA97),DAY(CA97))</f>
        <v>731</v>
      </c>
      <c r="CT97" s="256"/>
      <c r="CU97" s="883">
        <f t="shared" si="389"/>
        <v>0</v>
      </c>
      <c r="CV97" s="256"/>
      <c r="CW97" s="749">
        <f t="shared" si="350"/>
        <v>44470</v>
      </c>
      <c r="CX97" s="612">
        <f>CW97</f>
        <v>44470</v>
      </c>
      <c r="CY97" s="753"/>
      <c r="CZ97" s="122"/>
      <c r="DA97" s="125"/>
      <c r="DB97" s="125"/>
      <c r="DC97" s="125"/>
      <c r="DD97" s="125"/>
      <c r="DE97" s="125"/>
      <c r="DF97" s="56"/>
      <c r="DG97" s="296">
        <f t="shared" si="390"/>
        <v>44805</v>
      </c>
      <c r="DH97" s="56"/>
      <c r="DI97" s="56"/>
      <c r="DJ97" s="56"/>
      <c r="DK97" s="56"/>
      <c r="DL97" s="56"/>
      <c r="DM97" s="56"/>
      <c r="DN97" s="56"/>
      <c r="DO97" s="56"/>
      <c r="DP97" s="56"/>
      <c r="DQ97" s="56"/>
      <c r="DR97" s="56"/>
      <c r="DS97" s="56"/>
      <c r="DT97" s="710"/>
      <c r="DU97" s="713"/>
      <c r="DV97" s="713"/>
      <c r="DW97" s="715" t="str">
        <f t="shared" si="420"/>
        <v>0</v>
      </c>
      <c r="DX97" s="713"/>
      <c r="DY97" s="713"/>
      <c r="DZ97" s="715" t="str">
        <f t="shared" si="391"/>
        <v>0</v>
      </c>
      <c r="EA97" s="713"/>
      <c r="EB97" s="713"/>
      <c r="EC97" s="715" t="str">
        <f t="shared" si="392"/>
        <v>0</v>
      </c>
      <c r="ED97" s="713"/>
      <c r="EE97" s="713"/>
      <c r="EF97" s="715" t="str">
        <f t="shared" si="393"/>
        <v>0</v>
      </c>
      <c r="EG97" s="716"/>
      <c r="EH97" s="717"/>
      <c r="EI97" s="715" t="str">
        <f t="shared" si="394"/>
        <v>0</v>
      </c>
      <c r="EJ97" s="718"/>
      <c r="EK97" s="695"/>
      <c r="EL97" s="696"/>
      <c r="EM97" s="697" t="str">
        <f t="shared" si="395"/>
        <v>0</v>
      </c>
      <c r="EN97" s="695"/>
      <c r="EO97" s="696"/>
      <c r="EP97" s="697" t="str">
        <f t="shared" si="396"/>
        <v>0</v>
      </c>
      <c r="EQ97" s="695"/>
      <c r="ER97" s="696"/>
      <c r="ES97" s="697" t="str">
        <f t="shared" si="397"/>
        <v>0</v>
      </c>
      <c r="ET97" s="695"/>
      <c r="EU97" s="722"/>
      <c r="EV97" s="698" t="str">
        <f t="shared" si="398"/>
        <v>0</v>
      </c>
      <c r="EW97" s="699"/>
      <c r="EX97" s="700"/>
      <c r="EY97" s="697" t="str">
        <f t="shared" si="399"/>
        <v>0</v>
      </c>
      <c r="EZ97" s="696"/>
      <c r="FA97" s="701"/>
      <c r="FB97" s="697" t="str">
        <f t="shared" si="400"/>
        <v>0</v>
      </c>
      <c r="FC97" s="703"/>
      <c r="FD97" s="703"/>
      <c r="FE97" s="697" t="str">
        <f t="shared" si="401"/>
        <v>0</v>
      </c>
      <c r="FF97" s="703"/>
      <c r="FG97" s="703"/>
      <c r="FH97" s="697" t="str">
        <f t="shared" si="402"/>
        <v>0</v>
      </c>
      <c r="FI97" s="701"/>
      <c r="FJ97" s="701"/>
      <c r="FK97" s="697" t="str">
        <f t="shared" si="403"/>
        <v>0</v>
      </c>
      <c r="FL97" s="703"/>
      <c r="FM97" s="703"/>
      <c r="FN97" s="703"/>
      <c r="FO97" s="703"/>
      <c r="FP97" s="701">
        <f t="shared" si="404"/>
        <v>44440</v>
      </c>
      <c r="FQ97" s="699">
        <f t="shared" si="348"/>
        <v>0</v>
      </c>
      <c r="FR97" s="703"/>
      <c r="FS97" s="701">
        <f t="shared" si="405"/>
        <v>44470</v>
      </c>
      <c r="FT97" s="727"/>
      <c r="FU97" s="727"/>
      <c r="FV97" s="727"/>
      <c r="FW97" s="727"/>
      <c r="FX97" s="728">
        <f t="shared" si="406"/>
        <v>0</v>
      </c>
      <c r="FY97" s="728">
        <f t="shared" si="362"/>
        <v>1482.3333333333333</v>
      </c>
      <c r="FZ97" s="724"/>
      <c r="GA97" s="741"/>
      <c r="GB97" s="724"/>
      <c r="GC97" s="724"/>
      <c r="GD97" s="117"/>
      <c r="GE97" s="117"/>
      <c r="GF97" s="95">
        <f t="shared" si="374"/>
        <v>0</v>
      </c>
      <c r="GG97" s="70">
        <f t="shared" si="422"/>
        <v>0</v>
      </c>
      <c r="GH97" s="96">
        <f t="shared" si="328"/>
        <v>0</v>
      </c>
      <c r="GI97" s="52" t="e">
        <f t="shared" si="437"/>
        <v>#DIV/0!</v>
      </c>
      <c r="GJ97" s="52">
        <f t="shared" si="438"/>
        <v>0</v>
      </c>
      <c r="GK97" s="95"/>
      <c r="GL97" s="70"/>
      <c r="GM97" s="96">
        <f t="shared" si="331"/>
        <v>0</v>
      </c>
      <c r="GN97" s="136" t="e">
        <f t="shared" si="332"/>
        <v>#DIV/0!</v>
      </c>
      <c r="GO97" s="137">
        <v>0.4</v>
      </c>
      <c r="GP97" s="95"/>
      <c r="GQ97" s="70"/>
      <c r="GR97" s="70"/>
      <c r="GS97" s="52">
        <f t="shared" si="436"/>
        <v>0</v>
      </c>
      <c r="GT97" s="97"/>
      <c r="GU97" s="95"/>
      <c r="GV97" s="70">
        <f t="shared" si="439"/>
        <v>0</v>
      </c>
      <c r="GW97" s="89"/>
      <c r="GX97" s="89"/>
      <c r="GY97" s="97">
        <f t="shared" si="334"/>
        <v>0</v>
      </c>
      <c r="GZ97" s="889">
        <f t="shared" si="377"/>
        <v>0</v>
      </c>
      <c r="HA97" s="70"/>
      <c r="HB97" s="95"/>
      <c r="HC97" s="70"/>
      <c r="HD97" s="70"/>
      <c r="HE97" s="90" t="e">
        <f t="shared" si="345"/>
        <v>#DIV/0!</v>
      </c>
      <c r="HF97" s="326"/>
      <c r="HG97" s="70"/>
      <c r="HH97" s="91">
        <f t="shared" si="407"/>
        <v>0</v>
      </c>
      <c r="HI97" s="52">
        <f t="shared" si="346"/>
        <v>0</v>
      </c>
      <c r="HJ97" s="84">
        <f t="shared" si="423"/>
        <v>0</v>
      </c>
      <c r="HK97" s="91">
        <f t="shared" si="440"/>
        <v>0</v>
      </c>
      <c r="HL97" s="92">
        <v>6.31</v>
      </c>
      <c r="HM97" s="92"/>
      <c r="HN97" s="93"/>
      <c r="HO97" s="93"/>
      <c r="HP97" s="52">
        <f t="shared" si="441"/>
        <v>0</v>
      </c>
      <c r="HQ97" s="93"/>
      <c r="HR97" s="52">
        <f t="shared" si="442"/>
        <v>0</v>
      </c>
      <c r="HS97" s="53" t="e">
        <f t="shared" si="364"/>
        <v>#DIV/0!</v>
      </c>
      <c r="HT97" s="93"/>
      <c r="HU97" s="93"/>
      <c r="HV97" s="70"/>
      <c r="HW97" s="98">
        <f t="shared" si="365"/>
        <v>0</v>
      </c>
      <c r="HX97" s="293">
        <v>179535</v>
      </c>
      <c r="HY97" s="293">
        <f t="shared" si="344"/>
        <v>62837.75</v>
      </c>
      <c r="HZ97" s="253">
        <v>42877</v>
      </c>
      <c r="IA97" s="409">
        <v>17954</v>
      </c>
      <c r="IB97" s="409"/>
      <c r="IC97" s="253"/>
      <c r="ID97" s="253"/>
      <c r="IE97" s="491">
        <v>8976.75</v>
      </c>
      <c r="IF97" s="278"/>
      <c r="IG97" s="290">
        <v>17953.5</v>
      </c>
      <c r="IH97" s="278"/>
      <c r="II97" s="625">
        <v>17953.5</v>
      </c>
      <c r="IJ97" s="295"/>
      <c r="IK97" s="300">
        <v>0</v>
      </c>
      <c r="IL97" s="298"/>
      <c r="IM97" s="298"/>
      <c r="IN97" s="292"/>
      <c r="IO97" s="293"/>
      <c r="IP97" s="292"/>
      <c r="IQ97" s="293"/>
      <c r="IR97" s="323"/>
      <c r="IS97" s="323"/>
      <c r="IT97" s="323"/>
      <c r="IU97" s="323"/>
      <c r="IV97" s="286"/>
      <c r="IW97" s="286"/>
      <c r="IX97" s="286"/>
      <c r="IY97" s="286"/>
      <c r="IZ97" s="286"/>
      <c r="JA97" s="286"/>
      <c r="JB97" s="297" t="e">
        <f>$JB$1*HX97</f>
        <v>#VALUE!</v>
      </c>
      <c r="JC97" s="122"/>
      <c r="JD97" s="295"/>
      <c r="JE97" s="122"/>
      <c r="JF97" s="122"/>
      <c r="JG97" s="295"/>
    </row>
    <row r="98" spans="1:267" ht="24.95" customHeight="1">
      <c r="A98" s="566" t="s">
        <v>664</v>
      </c>
      <c r="B98" s="56" t="s">
        <v>41</v>
      </c>
      <c r="C98" s="56" t="s">
        <v>114</v>
      </c>
      <c r="D98" s="56">
        <v>2019</v>
      </c>
      <c r="E98" s="56" t="s">
        <v>672</v>
      </c>
      <c r="F98" s="56"/>
      <c r="G98" s="56"/>
      <c r="H98" s="58" t="s">
        <v>248</v>
      </c>
      <c r="I98" s="56"/>
      <c r="J98" s="56" t="s">
        <v>729</v>
      </c>
      <c r="K98" s="272" t="s">
        <v>730</v>
      </c>
      <c r="L98" s="176"/>
      <c r="M98" s="177"/>
      <c r="N98" s="178"/>
      <c r="O98" s="217"/>
      <c r="P98" s="217"/>
      <c r="Q98" s="217"/>
      <c r="R98" s="217">
        <f>P98/AD98</f>
        <v>0</v>
      </c>
      <c r="S98" s="217" t="e">
        <f t="shared" si="426"/>
        <v>#DIV/0!</v>
      </c>
      <c r="T98" s="223" t="e">
        <f t="shared" si="432"/>
        <v>#DIV/0!</v>
      </c>
      <c r="U98" s="223" t="e">
        <f t="shared" si="433"/>
        <v>#DIV/0!</v>
      </c>
      <c r="V98" s="223">
        <f>Q98/AD98</f>
        <v>0</v>
      </c>
      <c r="W98" s="217">
        <f>O98/AD98</f>
        <v>0</v>
      </c>
      <c r="X98" s="218"/>
      <c r="Y98" s="226" t="e">
        <f t="shared" si="443"/>
        <v>#DIV/0!</v>
      </c>
      <c r="Z98" s="218"/>
      <c r="AA98" s="218"/>
      <c r="AB98" s="219"/>
      <c r="AC98" s="56" t="s">
        <v>16</v>
      </c>
      <c r="AD98" s="342">
        <f t="shared" si="380"/>
        <v>60</v>
      </c>
      <c r="AE98" s="67"/>
      <c r="AF98" s="56">
        <v>60</v>
      </c>
      <c r="AG98" s="67"/>
      <c r="AH98" s="56"/>
      <c r="AI98" s="60"/>
      <c r="AJ98" s="94"/>
      <c r="AK98" s="60"/>
      <c r="AL98" s="81"/>
      <c r="AM98" s="81"/>
      <c r="AN98" s="81"/>
      <c r="AO98" s="81"/>
      <c r="AP98" s="81"/>
      <c r="AQ98" s="60"/>
      <c r="AR98" s="79"/>
      <c r="AS98" s="81"/>
      <c r="AT98" s="60"/>
      <c r="AU98" s="59"/>
      <c r="AV98" s="56"/>
      <c r="AW98" s="251"/>
      <c r="AX98" s="194"/>
      <c r="AY98" s="114"/>
      <c r="AZ98" s="114"/>
      <c r="BA98" s="99"/>
      <c r="BB98" s="214"/>
      <c r="BC98" s="101"/>
      <c r="BD98" s="101"/>
      <c r="BE98" s="214"/>
      <c r="BF98" s="101"/>
      <c r="BG98" s="170"/>
      <c r="BH98" s="213"/>
      <c r="BI98" s="170"/>
      <c r="BJ98" s="170"/>
      <c r="BK98" s="102"/>
      <c r="BL98" s="198"/>
      <c r="BM98" s="198"/>
      <c r="BN98" s="198"/>
      <c r="BO98" s="170"/>
      <c r="BP98" s="175"/>
      <c r="BQ98" s="102"/>
      <c r="BR98" s="103"/>
      <c r="BS98" s="103"/>
      <c r="BT98" s="103"/>
      <c r="BU98" s="168"/>
      <c r="BV98" s="266"/>
      <c r="BW98" s="266"/>
      <c r="BX98" s="167"/>
      <c r="BY98" s="266"/>
      <c r="BZ98" s="266"/>
      <c r="CA98" s="266"/>
      <c r="CB98" s="266" t="s">
        <v>172</v>
      </c>
      <c r="CC98" s="781"/>
      <c r="CD98" s="615"/>
      <c r="CE98" s="452">
        <v>44013</v>
      </c>
      <c r="CF98" s="445"/>
      <c r="CG98" s="600">
        <f t="shared" si="381"/>
        <v>1467.1</v>
      </c>
      <c r="CH98" s="260">
        <v>18</v>
      </c>
      <c r="CI98" s="260">
        <f t="shared" si="382"/>
        <v>19</v>
      </c>
      <c r="CJ98" s="255">
        <f t="shared" si="383"/>
        <v>18</v>
      </c>
      <c r="CK98" s="255">
        <f t="shared" si="384"/>
        <v>19</v>
      </c>
      <c r="CL98" s="255">
        <f t="shared" si="385"/>
        <v>0</v>
      </c>
      <c r="CM98" s="255">
        <f t="shared" si="386"/>
        <v>0</v>
      </c>
      <c r="CN98" s="261"/>
      <c r="CO98" s="261">
        <f t="shared" si="387"/>
        <v>0</v>
      </c>
      <c r="CP98" s="256"/>
      <c r="CQ98" s="797">
        <f t="shared" si="388"/>
        <v>44562</v>
      </c>
      <c r="CR98" s="454">
        <f t="shared" si="431"/>
        <v>44562</v>
      </c>
      <c r="CS98" s="752">
        <f>DATE(YEAR(CA98)+2,MONTH(CA98),DAY(CA98))</f>
        <v>731</v>
      </c>
      <c r="CT98" s="256"/>
      <c r="CU98" s="883">
        <f t="shared" si="389"/>
        <v>0</v>
      </c>
      <c r="CV98" s="256"/>
      <c r="CW98" s="749">
        <f t="shared" si="350"/>
        <v>44593</v>
      </c>
      <c r="CX98" s="612">
        <f>CW98</f>
        <v>44593</v>
      </c>
      <c r="CY98" s="753"/>
      <c r="CZ98" s="122"/>
      <c r="DA98" s="125"/>
      <c r="DB98" s="125"/>
      <c r="DC98" s="125"/>
      <c r="DD98" s="125"/>
      <c r="DE98" s="125"/>
      <c r="DF98" s="56"/>
      <c r="DG98" s="296">
        <f t="shared" si="390"/>
        <v>44927</v>
      </c>
      <c r="DH98" s="56"/>
      <c r="DI98" s="56"/>
      <c r="DJ98" s="56"/>
      <c r="DK98" s="56"/>
      <c r="DL98" s="56"/>
      <c r="DM98" s="56"/>
      <c r="DN98" s="56"/>
      <c r="DO98" s="56"/>
      <c r="DP98" s="56"/>
      <c r="DQ98" s="56"/>
      <c r="DR98" s="56"/>
      <c r="DS98" s="56"/>
      <c r="DT98" s="710"/>
      <c r="DU98" s="713"/>
      <c r="DV98" s="713"/>
      <c r="DW98" s="715" t="str">
        <f t="shared" si="420"/>
        <v>0</v>
      </c>
      <c r="DX98" s="713"/>
      <c r="DY98" s="713"/>
      <c r="DZ98" s="715" t="str">
        <f t="shared" si="391"/>
        <v>0</v>
      </c>
      <c r="EA98" s="713"/>
      <c r="EB98" s="713"/>
      <c r="EC98" s="715" t="str">
        <f t="shared" si="392"/>
        <v>0</v>
      </c>
      <c r="ED98" s="713"/>
      <c r="EE98" s="713"/>
      <c r="EF98" s="715" t="str">
        <f t="shared" si="393"/>
        <v>0</v>
      </c>
      <c r="EG98" s="716"/>
      <c r="EH98" s="717"/>
      <c r="EI98" s="715" t="str">
        <f t="shared" si="394"/>
        <v>0</v>
      </c>
      <c r="EJ98" s="718"/>
      <c r="EK98" s="695"/>
      <c r="EL98" s="696"/>
      <c r="EM98" s="697" t="str">
        <f t="shared" si="395"/>
        <v>0</v>
      </c>
      <c r="EN98" s="695"/>
      <c r="EO98" s="696"/>
      <c r="EP98" s="697" t="str">
        <f t="shared" si="396"/>
        <v>0</v>
      </c>
      <c r="EQ98" s="695"/>
      <c r="ER98" s="696"/>
      <c r="ES98" s="697" t="str">
        <f t="shared" si="397"/>
        <v>0</v>
      </c>
      <c r="ET98" s="695"/>
      <c r="EU98" s="722"/>
      <c r="EV98" s="698" t="str">
        <f t="shared" si="398"/>
        <v>0</v>
      </c>
      <c r="EW98" s="699"/>
      <c r="EX98" s="700"/>
      <c r="EY98" s="697" t="str">
        <f t="shared" si="399"/>
        <v>0</v>
      </c>
      <c r="EZ98" s="701"/>
      <c r="FA98" s="701"/>
      <c r="FB98" s="697" t="str">
        <f t="shared" si="400"/>
        <v>0</v>
      </c>
      <c r="FC98" s="701"/>
      <c r="FD98" s="701"/>
      <c r="FE98" s="697" t="str">
        <f t="shared" si="401"/>
        <v>0</v>
      </c>
      <c r="FF98" s="701"/>
      <c r="FG98" s="701"/>
      <c r="FH98" s="697" t="str">
        <f t="shared" si="402"/>
        <v>0</v>
      </c>
      <c r="FI98" s="701"/>
      <c r="FJ98" s="701"/>
      <c r="FK98" s="697" t="str">
        <f t="shared" si="403"/>
        <v>0</v>
      </c>
      <c r="FL98" s="701"/>
      <c r="FM98" s="701"/>
      <c r="FN98" s="701"/>
      <c r="FO98" s="701"/>
      <c r="FP98" s="701">
        <f t="shared" si="404"/>
        <v>44562</v>
      </c>
      <c r="FQ98" s="699">
        <f t="shared" si="348"/>
        <v>0</v>
      </c>
      <c r="FR98" s="701"/>
      <c r="FS98" s="701">
        <f t="shared" si="405"/>
        <v>44593</v>
      </c>
      <c r="FT98" s="727"/>
      <c r="FU98" s="727"/>
      <c r="FV98" s="727"/>
      <c r="FW98" s="727"/>
      <c r="FX98" s="728">
        <f t="shared" si="406"/>
        <v>0</v>
      </c>
      <c r="FY98" s="728">
        <f t="shared" si="362"/>
        <v>1486.4333333333334</v>
      </c>
      <c r="FZ98" s="724"/>
      <c r="GA98" s="741"/>
      <c r="GB98" s="724"/>
      <c r="GC98" s="724"/>
      <c r="GD98" s="117"/>
      <c r="GE98" s="117"/>
      <c r="GF98" s="95">
        <f t="shared" si="374"/>
        <v>0</v>
      </c>
      <c r="GG98" s="70">
        <f t="shared" si="422"/>
        <v>0</v>
      </c>
      <c r="GH98" s="96">
        <f t="shared" si="328"/>
        <v>0</v>
      </c>
      <c r="GI98" s="52" t="e">
        <f t="shared" si="437"/>
        <v>#DIV/0!</v>
      </c>
      <c r="GJ98" s="52">
        <f t="shared" si="438"/>
        <v>0</v>
      </c>
      <c r="GK98" s="95"/>
      <c r="GL98" s="70"/>
      <c r="GM98" s="96">
        <f t="shared" si="331"/>
        <v>0</v>
      </c>
      <c r="GN98" s="136" t="e">
        <f t="shared" si="332"/>
        <v>#DIV/0!</v>
      </c>
      <c r="GO98" s="137">
        <v>0.4</v>
      </c>
      <c r="GP98" s="95"/>
      <c r="GQ98" s="70"/>
      <c r="GR98" s="70"/>
      <c r="GS98" s="52">
        <f t="shared" si="436"/>
        <v>0</v>
      </c>
      <c r="GT98" s="97"/>
      <c r="GU98" s="95"/>
      <c r="GV98" s="70">
        <f t="shared" si="439"/>
        <v>0</v>
      </c>
      <c r="GW98" s="89"/>
      <c r="GX98" s="89"/>
      <c r="GY98" s="97">
        <f t="shared" si="334"/>
        <v>0</v>
      </c>
      <c r="GZ98" s="889">
        <f t="shared" si="377"/>
        <v>0</v>
      </c>
      <c r="HA98" s="70"/>
      <c r="HB98" s="304"/>
      <c r="HC98" s="70"/>
      <c r="HD98" s="70"/>
      <c r="HE98" s="90" t="e">
        <f t="shared" si="345"/>
        <v>#DIV/0!</v>
      </c>
      <c r="HF98" s="95"/>
      <c r="HG98" s="70"/>
      <c r="HH98" s="91">
        <f t="shared" si="407"/>
        <v>0</v>
      </c>
      <c r="HI98" s="52">
        <f t="shared" si="346"/>
        <v>0</v>
      </c>
      <c r="HJ98" s="84">
        <f t="shared" si="423"/>
        <v>0</v>
      </c>
      <c r="HK98" s="91">
        <f t="shared" si="440"/>
        <v>0</v>
      </c>
      <c r="HL98" s="92">
        <v>6.31</v>
      </c>
      <c r="HM98" s="92"/>
      <c r="HN98" s="93"/>
      <c r="HO98" s="93"/>
      <c r="HP98" s="52">
        <f t="shared" si="441"/>
        <v>0</v>
      </c>
      <c r="HQ98" s="93"/>
      <c r="HR98" s="52">
        <f t="shared" si="442"/>
        <v>0</v>
      </c>
      <c r="HS98" s="53" t="e">
        <f t="shared" si="364"/>
        <v>#DIV/0!</v>
      </c>
      <c r="HT98" s="93"/>
      <c r="HU98" s="93"/>
      <c r="HV98" s="70"/>
      <c r="HW98" s="98">
        <f t="shared" si="365"/>
        <v>0</v>
      </c>
      <c r="HX98" s="243"/>
      <c r="HY98" s="243">
        <f t="shared" si="344"/>
        <v>0</v>
      </c>
      <c r="HZ98" s="118"/>
      <c r="IA98" s="339"/>
      <c r="IB98" s="339"/>
      <c r="IC98" s="253"/>
      <c r="ID98" s="253"/>
      <c r="IE98" s="413"/>
      <c r="IF98" s="250"/>
      <c r="IG98" s="414"/>
      <c r="IH98" s="250"/>
      <c r="II98" s="414"/>
      <c r="IJ98" s="309"/>
      <c r="IK98" s="415"/>
      <c r="IL98" s="411"/>
      <c r="IM98" s="411"/>
      <c r="IN98" s="204"/>
      <c r="IO98" s="413"/>
      <c r="IP98" s="204"/>
      <c r="IQ98" s="413"/>
      <c r="IR98" s="309"/>
      <c r="IS98" s="309"/>
      <c r="IT98" s="309"/>
      <c r="IU98" s="309"/>
      <c r="IV98" s="286"/>
      <c r="IW98" s="286"/>
      <c r="IX98" s="286"/>
      <c r="IY98" s="286"/>
      <c r="IZ98" s="286"/>
      <c r="JA98" s="286"/>
      <c r="JB98" s="413"/>
      <c r="JC98" s="412"/>
      <c r="JD98" s="309"/>
      <c r="JE98" s="412"/>
      <c r="JF98" s="412"/>
      <c r="JG98" s="309"/>
    </row>
    <row r="99" spans="1:267" ht="24.95" customHeight="1">
      <c r="A99" s="100" t="s">
        <v>167</v>
      </c>
      <c r="B99" s="57" t="s">
        <v>28</v>
      </c>
      <c r="C99" s="57" t="s">
        <v>113</v>
      </c>
      <c r="D99" s="56"/>
      <c r="E99" s="57" t="s">
        <v>168</v>
      </c>
      <c r="F99" s="56" t="s">
        <v>58</v>
      </c>
      <c r="G99" s="56"/>
      <c r="H99" s="57" t="s">
        <v>178</v>
      </c>
      <c r="I99" s="56" t="s">
        <v>121</v>
      </c>
      <c r="J99" s="57"/>
      <c r="K99" s="216" t="s">
        <v>418</v>
      </c>
      <c r="L99" s="176" t="s">
        <v>203</v>
      </c>
      <c r="M99" s="177" t="s">
        <v>150</v>
      </c>
      <c r="N99" s="178"/>
      <c r="O99" s="222">
        <v>1736</v>
      </c>
      <c r="P99" s="222">
        <f>Q99</f>
        <v>448408</v>
      </c>
      <c r="Q99" s="222">
        <v>448408</v>
      </c>
      <c r="R99" s="217">
        <f>P99/AD99</f>
        <v>23600.42105263158</v>
      </c>
      <c r="S99" s="222">
        <f t="shared" si="426"/>
        <v>258.29953917050693</v>
      </c>
      <c r="T99" s="223">
        <f t="shared" si="432"/>
        <v>258.29953917050693</v>
      </c>
      <c r="U99" s="223">
        <f t="shared" si="433"/>
        <v>274.7126718455167</v>
      </c>
      <c r="V99" s="223">
        <f t="shared" si="434"/>
        <v>23600.42105263158</v>
      </c>
      <c r="W99" s="217">
        <f t="shared" si="435"/>
        <v>91.368421052631575</v>
      </c>
      <c r="X99" s="224"/>
      <c r="Y99" s="225">
        <f t="shared" si="443"/>
        <v>0.94025345622119816</v>
      </c>
      <c r="Z99" s="224" t="s">
        <v>198</v>
      </c>
      <c r="AA99" s="218">
        <v>50</v>
      </c>
      <c r="AB99" s="219"/>
      <c r="AC99" s="57" t="s">
        <v>16</v>
      </c>
      <c r="AD99" s="342">
        <f t="shared" si="380"/>
        <v>19</v>
      </c>
      <c r="AE99" s="274"/>
      <c r="AF99" s="57">
        <v>19</v>
      </c>
      <c r="AG99" s="274"/>
      <c r="AH99" s="274"/>
      <c r="AI99" s="60">
        <v>1584.58</v>
      </c>
      <c r="AJ99" s="94">
        <v>1632.28</v>
      </c>
      <c r="AK99" s="60">
        <f>AJ99/AD99</f>
        <v>85.909473684210525</v>
      </c>
      <c r="AL99" s="62"/>
      <c r="AM99" s="81">
        <f>8/AD99</f>
        <v>0.42105263157894735</v>
      </c>
      <c r="AN99" s="81">
        <f>7/AD99</f>
        <v>0.36842105263157893</v>
      </c>
      <c r="AO99" s="81">
        <f>4/AD99</f>
        <v>0.21052631578947367</v>
      </c>
      <c r="AP99" s="62"/>
      <c r="AQ99" s="60"/>
      <c r="AR99" s="79">
        <v>0</v>
      </c>
      <c r="AS99" s="81">
        <f>AR99/O99</f>
        <v>0</v>
      </c>
      <c r="AT99" s="60">
        <v>3</v>
      </c>
      <c r="AU99" s="59" t="s">
        <v>626</v>
      </c>
      <c r="AV99" s="56" t="s">
        <v>121</v>
      </c>
      <c r="AW99" s="250">
        <v>41591</v>
      </c>
      <c r="AX99" s="250">
        <v>42475</v>
      </c>
      <c r="AY99" s="114" t="s">
        <v>256</v>
      </c>
      <c r="AZ99" s="114"/>
      <c r="BA99" s="275" t="s">
        <v>172</v>
      </c>
      <c r="BB99" s="214"/>
      <c r="BC99" s="101"/>
      <c r="BD99" s="101"/>
      <c r="BE99" s="214"/>
      <c r="BF99" s="101"/>
      <c r="BG99" s="170"/>
      <c r="BH99" s="213"/>
      <c r="BI99" s="170"/>
      <c r="BJ99" s="170"/>
      <c r="BK99" s="102"/>
      <c r="BL99" s="198">
        <f>DATE(YEAR(BK99),MONTH(BK99)+24,DAY(BK99))</f>
        <v>731</v>
      </c>
      <c r="BM99" s="198">
        <f>DATE(YEAR(BK99),MONTH(BK99)+36,DAY(BK99))</f>
        <v>1096</v>
      </c>
      <c r="BN99" s="198"/>
      <c r="BO99" s="170"/>
      <c r="BP99" s="175"/>
      <c r="BQ99" s="102"/>
      <c r="BR99" s="103"/>
      <c r="BS99" s="103"/>
      <c r="BT99" s="103"/>
      <c r="BU99" s="168" t="s">
        <v>150</v>
      </c>
      <c r="BV99" s="266"/>
      <c r="BW99" s="266"/>
      <c r="BX99" s="167"/>
      <c r="BY99" s="266">
        <f>DATE(YEAR(BV99),MONTH(BV99)+18,DAY(BV99))</f>
        <v>547</v>
      </c>
      <c r="BZ99" s="266"/>
      <c r="CA99" s="266"/>
      <c r="CB99" s="266" t="s">
        <v>172</v>
      </c>
      <c r="CC99" s="781"/>
      <c r="CD99" s="615"/>
      <c r="CE99" s="452">
        <v>44593</v>
      </c>
      <c r="CF99" s="445"/>
      <c r="CG99" s="600">
        <f t="shared" si="381"/>
        <v>1486.4333333333334</v>
      </c>
      <c r="CH99" s="260">
        <v>14</v>
      </c>
      <c r="CI99" s="260">
        <f t="shared" si="382"/>
        <v>15</v>
      </c>
      <c r="CJ99" s="255">
        <f t="shared" si="383"/>
        <v>14</v>
      </c>
      <c r="CK99" s="255">
        <f t="shared" si="384"/>
        <v>16</v>
      </c>
      <c r="CL99" s="255">
        <f t="shared" si="385"/>
        <v>0</v>
      </c>
      <c r="CM99" s="255">
        <f t="shared" si="386"/>
        <v>1</v>
      </c>
      <c r="CN99" s="261"/>
      <c r="CO99" s="261">
        <f t="shared" si="387"/>
        <v>0</v>
      </c>
      <c r="CP99" s="256"/>
      <c r="CQ99" s="797">
        <f t="shared" si="388"/>
        <v>45017</v>
      </c>
      <c r="CR99" s="454">
        <f t="shared" si="431"/>
        <v>45017</v>
      </c>
      <c r="CS99" s="752">
        <f>DATE(YEAR(CA99)+2,MONTH(CA99),DAY(CA99))</f>
        <v>731</v>
      </c>
      <c r="CT99" s="256"/>
      <c r="CU99" s="883">
        <f t="shared" si="389"/>
        <v>0</v>
      </c>
      <c r="CV99" s="256"/>
      <c r="CW99" s="749">
        <f t="shared" si="350"/>
        <v>45047</v>
      </c>
      <c r="CX99" s="612">
        <f>DATE(YEAR(CW99),MONTH(CW99)+1,DAY(CW99))</f>
        <v>45078</v>
      </c>
      <c r="CY99" s="753"/>
      <c r="CZ99" s="122"/>
      <c r="DA99" s="125"/>
      <c r="DB99" s="125"/>
      <c r="DC99" s="125"/>
      <c r="DD99" s="125"/>
      <c r="DE99" s="125"/>
      <c r="DF99" s="56"/>
      <c r="DG99" s="296">
        <f t="shared" si="390"/>
        <v>45383</v>
      </c>
      <c r="DH99" s="56"/>
      <c r="DI99" s="56"/>
      <c r="DJ99" s="56"/>
      <c r="DK99" s="56"/>
      <c r="DL99" s="56"/>
      <c r="DM99" s="56"/>
      <c r="DN99" s="56"/>
      <c r="DO99" s="56"/>
      <c r="DP99" s="56"/>
      <c r="DQ99" s="56"/>
      <c r="DR99" s="56"/>
      <c r="DS99" s="56"/>
      <c r="DT99" s="710"/>
      <c r="DU99" s="713"/>
      <c r="DV99" s="713"/>
      <c r="DW99" s="715" t="str">
        <f t="shared" si="420"/>
        <v>0</v>
      </c>
      <c r="DX99" s="713">
        <v>41676</v>
      </c>
      <c r="DY99" s="713">
        <v>40946</v>
      </c>
      <c r="DZ99" s="715">
        <f t="shared" si="391"/>
        <v>-730</v>
      </c>
      <c r="EA99" s="713"/>
      <c r="EB99" s="713"/>
      <c r="EC99" s="715" t="str">
        <f t="shared" si="392"/>
        <v>0</v>
      </c>
      <c r="ED99" s="713"/>
      <c r="EE99" s="713"/>
      <c r="EF99" s="715" t="str">
        <f t="shared" si="393"/>
        <v>0</v>
      </c>
      <c r="EG99" s="716"/>
      <c r="EH99" s="717"/>
      <c r="EI99" s="715" t="str">
        <f t="shared" si="394"/>
        <v>0</v>
      </c>
      <c r="EJ99" s="718"/>
      <c r="EK99" s="695">
        <v>42353</v>
      </c>
      <c r="EL99" s="696">
        <v>42928</v>
      </c>
      <c r="EM99" s="697">
        <f t="shared" si="395"/>
        <v>575</v>
      </c>
      <c r="EN99" s="695">
        <v>42943</v>
      </c>
      <c r="EO99" s="696">
        <v>42933</v>
      </c>
      <c r="EP99" s="697">
        <f t="shared" si="396"/>
        <v>-10</v>
      </c>
      <c r="EQ99" s="695">
        <v>42965</v>
      </c>
      <c r="ER99" s="696">
        <v>43038</v>
      </c>
      <c r="ES99" s="697">
        <f t="shared" si="397"/>
        <v>73</v>
      </c>
      <c r="ET99" s="695">
        <v>43182</v>
      </c>
      <c r="EU99" s="722">
        <v>43182</v>
      </c>
      <c r="EV99" s="698">
        <f t="shared" si="398"/>
        <v>0</v>
      </c>
      <c r="EW99" s="699"/>
      <c r="EX99" s="700"/>
      <c r="EY99" s="697" t="str">
        <f t="shared" si="399"/>
        <v>0</v>
      </c>
      <c r="EZ99" s="701"/>
      <c r="FA99" s="701"/>
      <c r="FB99" s="697" t="str">
        <f t="shared" si="400"/>
        <v>0</v>
      </c>
      <c r="FC99" s="701"/>
      <c r="FD99" s="701"/>
      <c r="FE99" s="697" t="str">
        <f t="shared" si="401"/>
        <v>0</v>
      </c>
      <c r="FF99" s="701"/>
      <c r="FG99" s="701"/>
      <c r="FH99" s="697" t="str">
        <f t="shared" si="402"/>
        <v>0</v>
      </c>
      <c r="FI99" s="701"/>
      <c r="FJ99" s="701"/>
      <c r="FK99" s="697" t="str">
        <f t="shared" si="403"/>
        <v>0</v>
      </c>
      <c r="FL99" s="701"/>
      <c r="FM99" s="701"/>
      <c r="FN99" s="701"/>
      <c r="FO99" s="701"/>
      <c r="FP99" s="701">
        <f t="shared" si="404"/>
        <v>45017</v>
      </c>
      <c r="FQ99" s="699" t="e">
        <f t="shared" si="348"/>
        <v>#NUM!</v>
      </c>
      <c r="FR99" s="701"/>
      <c r="FS99" s="701">
        <f t="shared" si="405"/>
        <v>45078</v>
      </c>
      <c r="FT99" s="727"/>
      <c r="FU99" s="727"/>
      <c r="FV99" s="727"/>
      <c r="FW99" s="727"/>
      <c r="FX99" s="728">
        <f t="shared" si="406"/>
        <v>-5.5</v>
      </c>
      <c r="FY99" s="728">
        <f t="shared" si="362"/>
        <v>1502.6</v>
      </c>
      <c r="FZ99" s="724"/>
      <c r="GA99" s="741"/>
      <c r="GB99" s="724"/>
      <c r="GC99" s="724"/>
      <c r="GD99" s="117"/>
      <c r="GE99" s="117"/>
      <c r="GF99" s="95">
        <f t="shared" si="374"/>
        <v>0</v>
      </c>
      <c r="GG99" s="70">
        <f t="shared" si="422"/>
        <v>0</v>
      </c>
      <c r="GH99" s="96">
        <f t="shared" si="328"/>
        <v>0</v>
      </c>
      <c r="GI99" s="52">
        <f t="shared" si="437"/>
        <v>0</v>
      </c>
      <c r="GJ99" s="52">
        <f t="shared" si="438"/>
        <v>0</v>
      </c>
      <c r="GK99" s="95"/>
      <c r="GL99" s="70"/>
      <c r="GM99" s="96">
        <f t="shared" si="331"/>
        <v>0</v>
      </c>
      <c r="GN99" s="136" t="e">
        <f t="shared" si="332"/>
        <v>#DIV/0!</v>
      </c>
      <c r="GO99" s="137">
        <v>0.4</v>
      </c>
      <c r="GP99" s="95"/>
      <c r="GQ99" s="70"/>
      <c r="GR99" s="70"/>
      <c r="GS99" s="52">
        <f t="shared" si="436"/>
        <v>0</v>
      </c>
      <c r="GT99" s="97"/>
      <c r="GU99" s="95"/>
      <c r="GV99" s="70">
        <f t="shared" si="439"/>
        <v>0</v>
      </c>
      <c r="GW99" s="89"/>
      <c r="GX99" s="89"/>
      <c r="GY99" s="97">
        <f t="shared" si="334"/>
        <v>0</v>
      </c>
      <c r="GZ99" s="889">
        <f t="shared" si="377"/>
        <v>0</v>
      </c>
      <c r="HA99" s="70"/>
      <c r="HB99" s="95"/>
      <c r="HC99" s="70"/>
      <c r="HD99" s="75"/>
      <c r="HE99" s="90" t="e">
        <f t="shared" si="345"/>
        <v>#DIV/0!</v>
      </c>
      <c r="HF99" s="326"/>
      <c r="HG99" s="70"/>
      <c r="HH99" s="91">
        <f t="shared" si="407"/>
        <v>0</v>
      </c>
      <c r="HI99" s="52">
        <f t="shared" si="346"/>
        <v>0</v>
      </c>
      <c r="HJ99" s="84">
        <f t="shared" si="423"/>
        <v>0</v>
      </c>
      <c r="HK99" s="91">
        <f t="shared" si="440"/>
        <v>0</v>
      </c>
      <c r="HL99" s="276">
        <v>6.31</v>
      </c>
      <c r="HM99" s="276"/>
      <c r="HN99" s="93"/>
      <c r="HO99" s="93"/>
      <c r="HP99" s="52">
        <f t="shared" si="441"/>
        <v>0</v>
      </c>
      <c r="HQ99" s="93"/>
      <c r="HR99" s="52">
        <f t="shared" si="442"/>
        <v>0</v>
      </c>
      <c r="HS99" s="53" t="e">
        <f t="shared" si="364"/>
        <v>#DIV/0!</v>
      </c>
      <c r="HT99" s="93"/>
      <c r="HU99" s="93"/>
      <c r="HV99" s="70"/>
      <c r="HW99" s="98">
        <f t="shared" si="365"/>
        <v>0</v>
      </c>
      <c r="HX99" s="293">
        <v>183150</v>
      </c>
      <c r="HY99" s="293">
        <f t="shared" si="344"/>
        <v>45788</v>
      </c>
      <c r="HZ99" s="118">
        <v>41641</v>
      </c>
      <c r="IA99" s="243">
        <v>17413</v>
      </c>
      <c r="IB99" s="243"/>
      <c r="IC99" s="118"/>
      <c r="ID99" s="118">
        <v>41696</v>
      </c>
      <c r="IE99" s="243">
        <v>8707</v>
      </c>
      <c r="IF99" s="118">
        <v>41820</v>
      </c>
      <c r="IG99" s="243">
        <v>19668</v>
      </c>
      <c r="IH99" s="118"/>
      <c r="II99" s="243"/>
      <c r="IJ99" s="119"/>
      <c r="IK99" s="403"/>
      <c r="IL99" s="338"/>
      <c r="IM99" s="338"/>
      <c r="IN99" s="292"/>
      <c r="IO99" s="297"/>
      <c r="IP99" s="292"/>
      <c r="IQ99" s="297"/>
      <c r="IR99" s="323"/>
      <c r="IS99" s="323"/>
      <c r="IT99" s="323"/>
      <c r="IU99" s="323"/>
      <c r="IV99" s="286"/>
      <c r="IW99" s="286"/>
      <c r="IX99" s="286"/>
      <c r="IY99" s="286"/>
      <c r="IZ99" s="286"/>
      <c r="JA99" s="286"/>
      <c r="JB99" s="243">
        <v>19668</v>
      </c>
      <c r="JC99" s="126"/>
      <c r="JD99" s="119"/>
      <c r="JE99" s="126"/>
      <c r="JF99" s="126"/>
      <c r="JG99" s="119"/>
    </row>
    <row r="100" spans="1:267" ht="24.95" customHeight="1">
      <c r="A100" s="88" t="s">
        <v>736</v>
      </c>
      <c r="B100" s="56" t="s">
        <v>28</v>
      </c>
      <c r="C100" s="56" t="s">
        <v>113</v>
      </c>
      <c r="D100" s="56"/>
      <c r="E100" s="56"/>
      <c r="F100" s="56"/>
      <c r="G100" s="56"/>
      <c r="H100" s="56" t="s">
        <v>455</v>
      </c>
      <c r="I100" s="56"/>
      <c r="J100" s="56" t="s">
        <v>737</v>
      </c>
      <c r="K100" s="272"/>
      <c r="L100" s="176"/>
      <c r="M100" s="177"/>
      <c r="N100" s="178"/>
      <c r="O100" s="217"/>
      <c r="P100" s="217"/>
      <c r="Q100" s="217"/>
      <c r="R100" s="217">
        <f t="shared" ref="R100:R101" si="444">P100/AD100</f>
        <v>0</v>
      </c>
      <c r="S100" s="217" t="e">
        <f t="shared" si="426"/>
        <v>#DIV/0!</v>
      </c>
      <c r="T100" s="223" t="e">
        <f t="shared" si="432"/>
        <v>#DIV/0!</v>
      </c>
      <c r="U100" s="223" t="e">
        <f t="shared" si="433"/>
        <v>#DIV/0!</v>
      </c>
      <c r="V100" s="223">
        <f t="shared" si="434"/>
        <v>0</v>
      </c>
      <c r="W100" s="217">
        <f t="shared" si="435"/>
        <v>0</v>
      </c>
      <c r="X100" s="218"/>
      <c r="Y100" s="226" t="e">
        <f t="shared" si="443"/>
        <v>#DIV/0!</v>
      </c>
      <c r="Z100" s="218"/>
      <c r="AA100" s="218"/>
      <c r="AB100" s="219"/>
      <c r="AC100" s="57" t="s">
        <v>16</v>
      </c>
      <c r="AD100" s="342">
        <f t="shared" si="380"/>
        <v>15</v>
      </c>
      <c r="AE100" s="67"/>
      <c r="AF100" s="56">
        <v>15</v>
      </c>
      <c r="AG100" s="9"/>
      <c r="AH100" s="67"/>
      <c r="AI100" s="60"/>
      <c r="AJ100" s="94"/>
      <c r="AK100" s="60"/>
      <c r="AL100" s="81"/>
      <c r="AM100" s="81"/>
      <c r="AN100" s="81"/>
      <c r="AO100" s="81"/>
      <c r="AP100" s="81"/>
      <c r="AQ100" s="60"/>
      <c r="AR100" s="79"/>
      <c r="AS100" s="81"/>
      <c r="AT100" s="60"/>
      <c r="AU100" s="56"/>
      <c r="AV100" s="56"/>
      <c r="AW100" s="194"/>
      <c r="AX100" s="56"/>
      <c r="AY100" s="114"/>
      <c r="AZ100" s="114"/>
      <c r="BA100" s="99"/>
      <c r="BB100" s="214"/>
      <c r="BC100" s="101"/>
      <c r="BD100" s="101"/>
      <c r="BE100" s="214"/>
      <c r="BF100" s="101"/>
      <c r="BG100" s="170"/>
      <c r="BH100" s="213"/>
      <c r="BI100" s="170"/>
      <c r="BJ100" s="170"/>
      <c r="BK100" s="102"/>
      <c r="BL100" s="198"/>
      <c r="BM100" s="198"/>
      <c r="BN100" s="198"/>
      <c r="BO100" s="170"/>
      <c r="BP100" s="175"/>
      <c r="BQ100" s="102"/>
      <c r="BR100" s="103"/>
      <c r="BS100" s="103"/>
      <c r="BT100" s="103"/>
      <c r="BU100" s="168"/>
      <c r="BV100" s="266"/>
      <c r="BW100" s="266"/>
      <c r="BX100" s="167"/>
      <c r="BY100" s="266"/>
      <c r="BZ100" s="266"/>
      <c r="CA100" s="266"/>
      <c r="CB100" s="266"/>
      <c r="CC100" s="780" t="e">
        <f>DATEDIF(CX100,CB100,"M")</f>
        <v>#NUM!</v>
      </c>
      <c r="CD100" s="615"/>
      <c r="CE100" s="452">
        <v>44593</v>
      </c>
      <c r="CF100" s="445"/>
      <c r="CG100" s="600">
        <f t="shared" si="381"/>
        <v>1486.4333333333334</v>
      </c>
      <c r="CH100" s="260">
        <v>16</v>
      </c>
      <c r="CI100" s="260">
        <f t="shared" si="382"/>
        <v>17</v>
      </c>
      <c r="CJ100" s="255">
        <f t="shared" si="383"/>
        <v>16</v>
      </c>
      <c r="CK100" s="255">
        <f t="shared" si="384"/>
        <v>17</v>
      </c>
      <c r="CL100" s="255">
        <f t="shared" si="385"/>
        <v>0</v>
      </c>
      <c r="CM100" s="255">
        <f t="shared" si="386"/>
        <v>0</v>
      </c>
      <c r="CN100" s="261"/>
      <c r="CO100" s="261">
        <f t="shared" si="387"/>
        <v>0</v>
      </c>
      <c r="CP100" s="256"/>
      <c r="CQ100" s="797">
        <f t="shared" si="388"/>
        <v>45078</v>
      </c>
      <c r="CR100" s="454">
        <f t="shared" si="431"/>
        <v>45078</v>
      </c>
      <c r="CS100" s="752">
        <f>DATE(YEAR(CA100)+2,MONTH(CA100),DAY(CA100))</f>
        <v>731</v>
      </c>
      <c r="CT100" s="256"/>
      <c r="CU100" s="883">
        <f t="shared" si="389"/>
        <v>0</v>
      </c>
      <c r="CV100" s="256"/>
      <c r="CW100" s="749">
        <f t="shared" si="350"/>
        <v>45108</v>
      </c>
      <c r="CX100" s="612">
        <f>CW100</f>
        <v>45108</v>
      </c>
      <c r="CY100" s="753"/>
      <c r="CZ100" s="122"/>
      <c r="DA100" s="125"/>
      <c r="DB100" s="125"/>
      <c r="DC100" s="125"/>
      <c r="DD100" s="125"/>
      <c r="DE100" s="125"/>
      <c r="DF100" s="56"/>
      <c r="DG100" s="296">
        <f t="shared" si="390"/>
        <v>45444</v>
      </c>
      <c r="DH100" s="56"/>
      <c r="DI100" s="56"/>
      <c r="DJ100" s="56"/>
      <c r="DK100" s="56"/>
      <c r="DL100" s="56"/>
      <c r="DM100" s="56"/>
      <c r="DN100" s="56"/>
      <c r="DO100" s="56"/>
      <c r="DP100" s="56"/>
      <c r="DQ100" s="56"/>
      <c r="DR100" s="56"/>
      <c r="DS100" s="56"/>
      <c r="DT100" s="713"/>
      <c r="DU100" s="713"/>
      <c r="DV100" s="713"/>
      <c r="DW100" s="715" t="str">
        <f t="shared" si="420"/>
        <v>0</v>
      </c>
      <c r="DX100" s="713"/>
      <c r="DY100" s="713"/>
      <c r="DZ100" s="715" t="str">
        <f t="shared" si="391"/>
        <v>0</v>
      </c>
      <c r="EA100" s="713"/>
      <c r="EB100" s="713"/>
      <c r="EC100" s="715" t="str">
        <f t="shared" si="392"/>
        <v>0</v>
      </c>
      <c r="ED100" s="713"/>
      <c r="EE100" s="713"/>
      <c r="EF100" s="715" t="str">
        <f t="shared" si="393"/>
        <v>0</v>
      </c>
      <c r="EG100" s="716"/>
      <c r="EH100" s="717"/>
      <c r="EI100" s="715" t="str">
        <f t="shared" si="394"/>
        <v>0</v>
      </c>
      <c r="EJ100" s="714"/>
      <c r="EK100" s="695"/>
      <c r="EL100" s="696"/>
      <c r="EM100" s="697" t="str">
        <f t="shared" si="395"/>
        <v>0</v>
      </c>
      <c r="EN100" s="695"/>
      <c r="EO100" s="696"/>
      <c r="EP100" s="697" t="str">
        <f t="shared" si="396"/>
        <v>0</v>
      </c>
      <c r="EQ100" s="695"/>
      <c r="ER100" s="696"/>
      <c r="ES100" s="697" t="str">
        <f t="shared" si="397"/>
        <v>0</v>
      </c>
      <c r="ET100" s="695"/>
      <c r="EU100" s="722"/>
      <c r="EV100" s="698" t="str">
        <f t="shared" si="398"/>
        <v>0</v>
      </c>
      <c r="EW100" s="699"/>
      <c r="EX100" s="700"/>
      <c r="EY100" s="697" t="str">
        <f t="shared" si="399"/>
        <v>0</v>
      </c>
      <c r="EZ100" s="701"/>
      <c r="FA100" s="701"/>
      <c r="FB100" s="697" t="str">
        <f t="shared" si="400"/>
        <v>0</v>
      </c>
      <c r="FC100" s="701"/>
      <c r="FD100" s="701"/>
      <c r="FE100" s="697" t="str">
        <f t="shared" si="401"/>
        <v>0</v>
      </c>
      <c r="FF100" s="701"/>
      <c r="FG100" s="701"/>
      <c r="FH100" s="697" t="str">
        <f t="shared" si="402"/>
        <v>0</v>
      </c>
      <c r="FI100" s="701"/>
      <c r="FJ100" s="701"/>
      <c r="FK100" s="697" t="str">
        <f t="shared" si="403"/>
        <v>0</v>
      </c>
      <c r="FL100" s="701"/>
      <c r="FM100" s="701"/>
      <c r="FN100" s="701"/>
      <c r="FO100" s="701"/>
      <c r="FP100" s="701">
        <f t="shared" si="404"/>
        <v>45078</v>
      </c>
      <c r="FQ100" s="699">
        <f t="shared" si="348"/>
        <v>0</v>
      </c>
      <c r="FR100" s="701"/>
      <c r="FS100" s="701">
        <f t="shared" si="405"/>
        <v>45108</v>
      </c>
      <c r="FT100" s="727"/>
      <c r="FU100" s="727"/>
      <c r="FV100" s="727"/>
      <c r="FW100" s="727"/>
      <c r="FX100" s="728">
        <f t="shared" si="406"/>
        <v>0</v>
      </c>
      <c r="FY100" s="728">
        <f t="shared" si="362"/>
        <v>1503.6</v>
      </c>
      <c r="FZ100" s="724"/>
      <c r="GA100" s="741"/>
      <c r="GB100" s="724"/>
      <c r="GC100" s="724"/>
      <c r="GD100" s="117"/>
      <c r="GE100" s="117"/>
      <c r="GF100" s="95">
        <f t="shared" si="374"/>
        <v>0</v>
      </c>
      <c r="GG100" s="70">
        <f t="shared" si="422"/>
        <v>0</v>
      </c>
      <c r="GH100" s="96">
        <f t="shared" si="328"/>
        <v>0</v>
      </c>
      <c r="GI100" s="52" t="e">
        <f t="shared" si="437"/>
        <v>#DIV/0!</v>
      </c>
      <c r="GJ100" s="52">
        <f t="shared" si="438"/>
        <v>0</v>
      </c>
      <c r="GK100" s="95"/>
      <c r="GL100" s="70"/>
      <c r="GM100" s="96">
        <f t="shared" si="331"/>
        <v>0</v>
      </c>
      <c r="GN100" s="136" t="e">
        <f t="shared" si="332"/>
        <v>#DIV/0!</v>
      </c>
      <c r="GO100" s="137">
        <v>0.4</v>
      </c>
      <c r="GP100" s="95"/>
      <c r="GQ100" s="70"/>
      <c r="GR100" s="70"/>
      <c r="GS100" s="52">
        <f t="shared" si="436"/>
        <v>0</v>
      </c>
      <c r="GT100" s="97"/>
      <c r="GU100" s="95"/>
      <c r="GV100" s="70">
        <f t="shared" si="439"/>
        <v>0</v>
      </c>
      <c r="GW100" s="89"/>
      <c r="GX100" s="89"/>
      <c r="GY100" s="97">
        <f t="shared" si="334"/>
        <v>0</v>
      </c>
      <c r="GZ100" s="889">
        <f t="shared" si="377"/>
        <v>0</v>
      </c>
      <c r="HA100" s="70"/>
      <c r="HB100" s="95"/>
      <c r="HC100" s="70"/>
      <c r="HD100" s="70"/>
      <c r="HE100" s="90" t="e">
        <f t="shared" si="345"/>
        <v>#DIV/0!</v>
      </c>
      <c r="HF100" s="326"/>
      <c r="HG100" s="70"/>
      <c r="HH100" s="91">
        <f t="shared" si="407"/>
        <v>0</v>
      </c>
      <c r="HI100" s="52">
        <f t="shared" si="346"/>
        <v>0</v>
      </c>
      <c r="HJ100" s="84">
        <f t="shared" si="423"/>
        <v>0</v>
      </c>
      <c r="HK100" s="91">
        <f t="shared" si="440"/>
        <v>0</v>
      </c>
      <c r="HL100" s="92">
        <v>6.31</v>
      </c>
      <c r="HM100" s="92"/>
      <c r="HN100" s="93"/>
      <c r="HO100" s="93"/>
      <c r="HP100" s="52">
        <f t="shared" si="441"/>
        <v>0</v>
      </c>
      <c r="HQ100" s="93"/>
      <c r="HR100" s="52">
        <f t="shared" si="442"/>
        <v>0</v>
      </c>
      <c r="HS100" s="53" t="e">
        <f t="shared" si="364"/>
        <v>#DIV/0!</v>
      </c>
      <c r="HT100" s="93"/>
      <c r="HU100" s="93"/>
      <c r="HV100" s="70"/>
      <c r="HW100" s="98">
        <f t="shared" si="365"/>
        <v>0</v>
      </c>
      <c r="HX100" s="293"/>
      <c r="HY100" s="293">
        <f t="shared" si="344"/>
        <v>0</v>
      </c>
      <c r="HZ100" s="294"/>
      <c r="IA100" s="297"/>
      <c r="IB100" s="297"/>
      <c r="IC100" s="269"/>
      <c r="ID100" s="269"/>
      <c r="IE100" s="491"/>
      <c r="IF100" s="278"/>
      <c r="IG100" s="290"/>
      <c r="IH100" s="278"/>
      <c r="II100" s="625"/>
      <c r="IJ100" s="295"/>
      <c r="IK100" s="300"/>
      <c r="IL100" s="298"/>
      <c r="IM100" s="298"/>
      <c r="IN100" s="292"/>
      <c r="IO100" s="293"/>
      <c r="IP100" s="292"/>
      <c r="IQ100" s="293"/>
      <c r="IR100" s="323"/>
      <c r="IS100" s="323"/>
      <c r="IT100" s="323"/>
      <c r="IU100" s="323"/>
      <c r="IV100" s="286"/>
      <c r="IW100" s="286"/>
      <c r="IX100" s="286"/>
      <c r="IY100" s="286"/>
      <c r="IZ100" s="286"/>
      <c r="JA100" s="286"/>
      <c r="JB100" s="297"/>
      <c r="JC100" s="122"/>
      <c r="JD100" s="295"/>
      <c r="JE100" s="122"/>
      <c r="JF100" s="288"/>
      <c r="JG100" s="295"/>
    </row>
    <row r="101" spans="1:267" ht="35.1" customHeight="1">
      <c r="A101" s="100" t="s">
        <v>484</v>
      </c>
      <c r="B101" s="56" t="s">
        <v>35</v>
      </c>
      <c r="C101" s="56" t="s">
        <v>113</v>
      </c>
      <c r="D101" s="56">
        <v>2021</v>
      </c>
      <c r="E101" s="56"/>
      <c r="F101" s="56"/>
      <c r="G101" s="56"/>
      <c r="H101" s="56" t="s">
        <v>248</v>
      </c>
      <c r="I101" s="56"/>
      <c r="J101" s="56"/>
      <c r="K101" s="272"/>
      <c r="L101" s="176"/>
      <c r="M101" s="177"/>
      <c r="N101" s="178"/>
      <c r="O101" s="223"/>
      <c r="P101" s="223"/>
      <c r="Q101" s="223"/>
      <c r="R101" s="217">
        <f t="shared" si="444"/>
        <v>0</v>
      </c>
      <c r="S101" s="217" t="e">
        <f t="shared" si="426"/>
        <v>#DIV/0!</v>
      </c>
      <c r="T101" s="223" t="e">
        <f t="shared" si="432"/>
        <v>#DIV/0!</v>
      </c>
      <c r="U101" s="223" t="e">
        <f t="shared" si="433"/>
        <v>#DIV/0!</v>
      </c>
      <c r="V101" s="223">
        <f t="shared" si="434"/>
        <v>0</v>
      </c>
      <c r="W101" s="217">
        <f t="shared" si="435"/>
        <v>0</v>
      </c>
      <c r="X101" s="227"/>
      <c r="Y101" s="226" t="e">
        <f t="shared" si="443"/>
        <v>#DIV/0!</v>
      </c>
      <c r="Z101" s="227"/>
      <c r="AA101" s="218"/>
      <c r="AB101" s="219"/>
      <c r="AC101" s="56" t="s">
        <v>16</v>
      </c>
      <c r="AD101" s="342">
        <f t="shared" si="380"/>
        <v>37</v>
      </c>
      <c r="AE101" s="67"/>
      <c r="AF101" s="56">
        <v>37</v>
      </c>
      <c r="AG101" s="67"/>
      <c r="AH101" s="67"/>
      <c r="AI101" s="60"/>
      <c r="AJ101" s="511"/>
      <c r="AK101" s="10">
        <f>AJ101/AD101</f>
        <v>0</v>
      </c>
      <c r="AL101" s="62"/>
      <c r="AM101" s="62"/>
      <c r="AN101" s="62"/>
      <c r="AO101" s="62"/>
      <c r="AP101" s="62"/>
      <c r="AQ101" s="60"/>
      <c r="AR101" s="79"/>
      <c r="AS101" s="81"/>
      <c r="AT101" s="60"/>
      <c r="AU101" s="59" t="s">
        <v>626</v>
      </c>
      <c r="AV101" s="56"/>
      <c r="AW101" s="200"/>
      <c r="AX101" s="56"/>
      <c r="AY101" s="114"/>
      <c r="AZ101" s="114"/>
      <c r="BA101" s="275"/>
      <c r="BB101" s="214"/>
      <c r="BC101" s="101"/>
      <c r="BD101" s="101"/>
      <c r="BE101" s="214"/>
      <c r="BF101" s="101"/>
      <c r="BG101" s="170"/>
      <c r="BH101" s="213"/>
      <c r="BI101" s="170"/>
      <c r="BJ101" s="170"/>
      <c r="BK101" s="102"/>
      <c r="BL101" s="198">
        <f>DATE(YEAR(BK101),MONTH(BK101)+24,DAY(BK101))</f>
        <v>731</v>
      </c>
      <c r="BM101" s="198">
        <f>DATE(YEAR(BK101),MONTH(BK101)+36,DAY(BK101))</f>
        <v>1096</v>
      </c>
      <c r="BN101" s="198"/>
      <c r="BO101" s="170"/>
      <c r="BP101" s="115"/>
      <c r="BQ101" s="102"/>
      <c r="BR101" s="103"/>
      <c r="BS101" s="103"/>
      <c r="BT101" s="103"/>
      <c r="BU101" s="168"/>
      <c r="BV101" s="266"/>
      <c r="BW101" s="266"/>
      <c r="BX101" s="167"/>
      <c r="BY101" s="266"/>
      <c r="BZ101" s="266"/>
      <c r="CA101" s="266"/>
      <c r="CB101" s="266" t="s">
        <v>172</v>
      </c>
      <c r="CC101" s="781"/>
      <c r="CD101" s="81"/>
      <c r="CE101" s="452">
        <v>44593</v>
      </c>
      <c r="CF101" s="447"/>
      <c r="CG101" s="607">
        <f t="shared" si="381"/>
        <v>1486.4333333333334</v>
      </c>
      <c r="CH101" s="260">
        <v>16</v>
      </c>
      <c r="CI101" s="260">
        <f t="shared" si="382"/>
        <v>17</v>
      </c>
      <c r="CJ101" s="255">
        <f t="shared" si="383"/>
        <v>17</v>
      </c>
      <c r="CK101" s="255">
        <f t="shared" si="384"/>
        <v>19</v>
      </c>
      <c r="CL101" s="255">
        <f t="shared" si="385"/>
        <v>1</v>
      </c>
      <c r="CM101" s="255">
        <f t="shared" si="386"/>
        <v>2</v>
      </c>
      <c r="CN101" s="246"/>
      <c r="CO101" s="261">
        <f t="shared" si="387"/>
        <v>0</v>
      </c>
      <c r="CP101" s="130"/>
      <c r="CQ101" s="626">
        <f t="shared" si="388"/>
        <v>45078</v>
      </c>
      <c r="CR101" s="513">
        <f>DATE(YEAR(CE101),MONTH(CE101)+CH101+1,DAY(CE101))</f>
        <v>45108</v>
      </c>
      <c r="CS101" s="626"/>
      <c r="CT101" s="196"/>
      <c r="CU101" s="882">
        <f t="shared" si="389"/>
        <v>0</v>
      </c>
      <c r="CV101" s="196"/>
      <c r="CW101" s="749">
        <f t="shared" si="350"/>
        <v>45139</v>
      </c>
      <c r="CX101" s="513">
        <f>DATE(YEAR(CW101),MONTH(CW101)+1,DAY(CW101))</f>
        <v>45170</v>
      </c>
      <c r="CY101" s="565"/>
      <c r="CZ101" s="289"/>
      <c r="DA101" s="125"/>
      <c r="DB101" s="125"/>
      <c r="DC101" s="125"/>
      <c r="DD101" s="125"/>
      <c r="DE101" s="125"/>
      <c r="DF101" s="56"/>
      <c r="DG101" s="296">
        <f t="shared" si="390"/>
        <v>45474</v>
      </c>
      <c r="DH101" s="56"/>
      <c r="DI101" s="56"/>
      <c r="DJ101" s="56"/>
      <c r="DK101" s="56"/>
      <c r="DL101" s="56"/>
      <c r="DM101" s="56"/>
      <c r="DN101" s="56"/>
      <c r="DO101" s="56"/>
      <c r="DP101" s="56"/>
      <c r="DQ101" s="56"/>
      <c r="DR101" s="56"/>
      <c r="DS101" s="56"/>
      <c r="DT101" s="713"/>
      <c r="DU101" s="711"/>
      <c r="DV101" s="711"/>
      <c r="DW101" s="715" t="str">
        <f t="shared" si="420"/>
        <v>0</v>
      </c>
      <c r="DX101" s="713"/>
      <c r="DY101" s="713"/>
      <c r="DZ101" s="715" t="str">
        <f t="shared" si="391"/>
        <v>0</v>
      </c>
      <c r="EA101" s="716"/>
      <c r="EB101" s="710"/>
      <c r="EC101" s="715" t="str">
        <f t="shared" si="392"/>
        <v>0</v>
      </c>
      <c r="ED101" s="716"/>
      <c r="EE101" s="710"/>
      <c r="EF101" s="715" t="str">
        <f t="shared" si="393"/>
        <v>0</v>
      </c>
      <c r="EG101" s="716"/>
      <c r="EH101" s="717"/>
      <c r="EI101" s="715" t="str">
        <f t="shared" si="394"/>
        <v>0</v>
      </c>
      <c r="EJ101" s="714"/>
      <c r="EK101" s="695"/>
      <c r="EL101" s="696"/>
      <c r="EM101" s="697" t="str">
        <f t="shared" si="395"/>
        <v>0</v>
      </c>
      <c r="EN101" s="695"/>
      <c r="EO101" s="696"/>
      <c r="EP101" s="697" t="str">
        <f t="shared" si="396"/>
        <v>0</v>
      </c>
      <c r="EQ101" s="695"/>
      <c r="ER101" s="696"/>
      <c r="ES101" s="697" t="str">
        <f t="shared" si="397"/>
        <v>0</v>
      </c>
      <c r="ET101" s="695"/>
      <c r="EU101" s="722"/>
      <c r="EV101" s="698" t="str">
        <f t="shared" si="398"/>
        <v>0</v>
      </c>
      <c r="EW101" s="699"/>
      <c r="EX101" s="700"/>
      <c r="EY101" s="697" t="str">
        <f t="shared" si="399"/>
        <v>0</v>
      </c>
      <c r="EZ101" s="696"/>
      <c r="FA101" s="701"/>
      <c r="FB101" s="697" t="str">
        <f t="shared" si="400"/>
        <v>0</v>
      </c>
      <c r="FC101" s="703"/>
      <c r="FD101" s="703"/>
      <c r="FE101" s="697" t="str">
        <f t="shared" si="401"/>
        <v>0</v>
      </c>
      <c r="FF101" s="703"/>
      <c r="FG101" s="703"/>
      <c r="FH101" s="697" t="str">
        <f t="shared" si="402"/>
        <v>0</v>
      </c>
      <c r="FI101" s="703"/>
      <c r="FJ101" s="703"/>
      <c r="FK101" s="697" t="str">
        <f t="shared" si="403"/>
        <v>0</v>
      </c>
      <c r="FL101" s="703"/>
      <c r="FM101" s="703"/>
      <c r="FN101" s="703"/>
      <c r="FO101" s="703"/>
      <c r="FP101" s="701">
        <f t="shared" si="404"/>
        <v>45108</v>
      </c>
      <c r="FQ101" s="699">
        <f t="shared" si="348"/>
        <v>0</v>
      </c>
      <c r="FR101" s="703"/>
      <c r="FS101" s="701">
        <f t="shared" si="405"/>
        <v>45170</v>
      </c>
      <c r="FT101" s="727"/>
      <c r="FU101" s="727"/>
      <c r="FV101" s="727"/>
      <c r="FW101" s="727"/>
      <c r="FX101" s="728">
        <f t="shared" si="406"/>
        <v>0</v>
      </c>
      <c r="FY101" s="728">
        <f t="shared" si="362"/>
        <v>1505.6666666666667</v>
      </c>
      <c r="FZ101" s="724"/>
      <c r="GA101" s="741"/>
      <c r="GB101" s="724"/>
      <c r="GC101" s="724"/>
      <c r="GD101" s="117"/>
      <c r="GE101" s="117"/>
      <c r="GF101" s="95">
        <f t="shared" si="374"/>
        <v>0</v>
      </c>
      <c r="GG101" s="70">
        <f t="shared" si="422"/>
        <v>0</v>
      </c>
      <c r="GH101" s="96">
        <f t="shared" si="328"/>
        <v>0</v>
      </c>
      <c r="GI101" s="52" t="e">
        <f t="shared" si="437"/>
        <v>#DIV/0!</v>
      </c>
      <c r="GJ101" s="52">
        <f t="shared" si="438"/>
        <v>0</v>
      </c>
      <c r="GK101" s="95"/>
      <c r="GL101" s="70"/>
      <c r="GM101" s="96">
        <f t="shared" si="331"/>
        <v>0</v>
      </c>
      <c r="GN101" s="136" t="e">
        <f t="shared" si="332"/>
        <v>#DIV/0!</v>
      </c>
      <c r="GO101" s="136">
        <v>0.4</v>
      </c>
      <c r="GP101" s="95"/>
      <c r="GQ101" s="70"/>
      <c r="GR101" s="70"/>
      <c r="GS101" s="52">
        <f t="shared" si="436"/>
        <v>0</v>
      </c>
      <c r="GT101" s="97"/>
      <c r="GU101" s="95"/>
      <c r="GV101" s="70">
        <f t="shared" si="439"/>
        <v>0</v>
      </c>
      <c r="GW101" s="89"/>
      <c r="GX101" s="89"/>
      <c r="GY101" s="97">
        <f t="shared" si="334"/>
        <v>0</v>
      </c>
      <c r="GZ101" s="889">
        <f t="shared" si="377"/>
        <v>0</v>
      </c>
      <c r="HA101" s="70"/>
      <c r="HB101" s="95"/>
      <c r="HC101" s="12"/>
      <c r="HD101" s="70"/>
      <c r="HE101" s="90" t="e">
        <f t="shared" si="345"/>
        <v>#DIV/0!</v>
      </c>
      <c r="HF101" s="326"/>
      <c r="HG101" s="70"/>
      <c r="HH101" s="91">
        <f t="shared" si="407"/>
        <v>0</v>
      </c>
      <c r="HI101" s="49">
        <f t="shared" si="346"/>
        <v>0</v>
      </c>
      <c r="HJ101" s="84">
        <f t="shared" si="423"/>
        <v>0</v>
      </c>
      <c r="HK101" s="91">
        <f t="shared" si="440"/>
        <v>0</v>
      </c>
      <c r="HL101" s="276">
        <v>6.31</v>
      </c>
      <c r="HM101" s="276"/>
      <c r="HN101" s="93"/>
      <c r="HO101" s="93"/>
      <c r="HP101" s="52">
        <f t="shared" si="441"/>
        <v>0</v>
      </c>
      <c r="HQ101" s="93"/>
      <c r="HR101" s="52">
        <f t="shared" si="442"/>
        <v>0</v>
      </c>
      <c r="HS101" s="53" t="e">
        <f t="shared" si="364"/>
        <v>#DIV/0!</v>
      </c>
      <c r="HT101" s="93"/>
      <c r="HU101" s="93"/>
      <c r="HV101" s="70"/>
      <c r="HW101" s="42">
        <f t="shared" si="365"/>
        <v>0</v>
      </c>
      <c r="HX101" s="293"/>
      <c r="HY101" s="293">
        <f t="shared" si="344"/>
        <v>0</v>
      </c>
      <c r="HZ101" s="294"/>
      <c r="IA101" s="297">
        <v>0</v>
      </c>
      <c r="IB101" s="297"/>
      <c r="IC101" s="269"/>
      <c r="ID101" s="269"/>
      <c r="IE101" s="491">
        <v>0</v>
      </c>
      <c r="IF101" s="278"/>
      <c r="IG101" s="290">
        <v>0</v>
      </c>
      <c r="IH101" s="278"/>
      <c r="II101" s="625"/>
      <c r="IJ101" s="295"/>
      <c r="IK101" s="300"/>
      <c r="IL101" s="298"/>
      <c r="IM101" s="298"/>
      <c r="IN101" s="292"/>
      <c r="IO101" s="293"/>
      <c r="IP101" s="292"/>
      <c r="IQ101" s="293"/>
      <c r="IR101" s="323"/>
      <c r="IS101" s="323"/>
      <c r="IT101" s="323"/>
      <c r="IU101" s="323"/>
      <c r="IV101" s="286"/>
      <c r="IW101" s="286"/>
      <c r="IX101" s="286"/>
      <c r="IY101" s="286"/>
      <c r="IZ101" s="286"/>
      <c r="JA101" s="286"/>
      <c r="JB101" s="297" t="e">
        <f>$JB$1*HX101</f>
        <v>#VALUE!</v>
      </c>
      <c r="JC101" s="122"/>
      <c r="JD101" s="295"/>
      <c r="JE101" s="122"/>
      <c r="JF101" s="125"/>
      <c r="JG101" s="295"/>
    </row>
    <row r="102" spans="1:267" ht="24.95" customHeight="1">
      <c r="A102" s="88" t="s">
        <v>451</v>
      </c>
      <c r="B102" s="56" t="s">
        <v>35</v>
      </c>
      <c r="C102" s="56" t="s">
        <v>113</v>
      </c>
      <c r="D102" s="56">
        <v>2021</v>
      </c>
      <c r="E102" s="56"/>
      <c r="F102" s="56" t="s">
        <v>423</v>
      </c>
      <c r="G102" s="56"/>
      <c r="H102" s="56" t="s">
        <v>248</v>
      </c>
      <c r="I102" s="56"/>
      <c r="J102" s="56" t="s">
        <v>452</v>
      </c>
      <c r="K102" s="272" t="s">
        <v>581</v>
      </c>
      <c r="L102" s="176"/>
      <c r="M102" s="177"/>
      <c r="N102" s="178"/>
      <c r="O102" s="217">
        <v>12700</v>
      </c>
      <c r="P102" s="217">
        <v>787400</v>
      </c>
      <c r="Q102" s="217"/>
      <c r="R102" s="217">
        <f>P102/AD102</f>
        <v>27151.724137931036</v>
      </c>
      <c r="S102" s="217">
        <f t="shared" si="426"/>
        <v>62</v>
      </c>
      <c r="T102" s="223">
        <f t="shared" si="432"/>
        <v>0</v>
      </c>
      <c r="U102" s="223" t="e">
        <f t="shared" si="433"/>
        <v>#DIV/0!</v>
      </c>
      <c r="V102" s="223">
        <f t="shared" si="434"/>
        <v>0</v>
      </c>
      <c r="W102" s="217">
        <f t="shared" si="435"/>
        <v>437.93103448275861</v>
      </c>
      <c r="X102" s="218"/>
      <c r="Y102" s="219">
        <f t="shared" si="443"/>
        <v>0</v>
      </c>
      <c r="Z102" s="218"/>
      <c r="AA102" s="218"/>
      <c r="AB102" s="219"/>
      <c r="AC102" s="56" t="s">
        <v>16</v>
      </c>
      <c r="AD102" s="342">
        <f t="shared" si="380"/>
        <v>29</v>
      </c>
      <c r="AE102" s="67"/>
      <c r="AF102" s="56">
        <v>29</v>
      </c>
      <c r="AG102" s="67"/>
      <c r="AH102" s="67"/>
      <c r="AI102" s="60">
        <v>2492.9699999999998</v>
      </c>
      <c r="AJ102" s="94"/>
      <c r="AK102" s="60">
        <f>AJ102/AD102</f>
        <v>0</v>
      </c>
      <c r="AL102" s="81"/>
      <c r="AM102" s="81"/>
      <c r="AN102" s="81"/>
      <c r="AO102" s="81"/>
      <c r="AP102" s="81"/>
      <c r="AQ102" s="60"/>
      <c r="AR102" s="79"/>
      <c r="AS102" s="81"/>
      <c r="AT102" s="60"/>
      <c r="AU102" s="56"/>
      <c r="AV102" s="56"/>
      <c r="AW102" s="250"/>
      <c r="AX102" s="56"/>
      <c r="AY102" s="114"/>
      <c r="AZ102" s="114"/>
      <c r="BA102" s="99"/>
      <c r="BB102" s="214"/>
      <c r="BC102" s="101"/>
      <c r="BD102" s="101"/>
      <c r="BE102" s="214"/>
      <c r="BF102" s="101"/>
      <c r="BG102" s="170"/>
      <c r="BH102" s="213"/>
      <c r="BI102" s="170"/>
      <c r="BJ102" s="170"/>
      <c r="BK102" s="102"/>
      <c r="BL102" s="198">
        <f>DATE(YEAR(BK102),MONTH(BK102)+24,DAY(BK102))</f>
        <v>731</v>
      </c>
      <c r="BM102" s="198">
        <f>DATE(YEAR(BK102),MONTH(BK102)+36,DAY(BK102))</f>
        <v>1096</v>
      </c>
      <c r="BN102" s="198"/>
      <c r="BO102" s="170"/>
      <c r="BP102" s="175"/>
      <c r="BQ102" s="102"/>
      <c r="BR102" s="103"/>
      <c r="BS102" s="103"/>
      <c r="BT102" s="103"/>
      <c r="BU102" s="168"/>
      <c r="BV102" s="266"/>
      <c r="BW102" s="266"/>
      <c r="BX102" s="167"/>
      <c r="BY102" s="266"/>
      <c r="BZ102" s="266"/>
      <c r="CA102" s="266"/>
      <c r="CB102" s="266" t="s">
        <v>172</v>
      </c>
      <c r="CC102" s="781"/>
      <c r="CD102" s="615"/>
      <c r="CE102" s="452">
        <v>44593</v>
      </c>
      <c r="CF102" s="445"/>
      <c r="CG102" s="600">
        <f t="shared" si="381"/>
        <v>1486.4333333333334</v>
      </c>
      <c r="CH102" s="260">
        <v>18</v>
      </c>
      <c r="CI102" s="260">
        <f t="shared" si="382"/>
        <v>19</v>
      </c>
      <c r="CJ102" s="255">
        <f t="shared" si="383"/>
        <v>18</v>
      </c>
      <c r="CK102" s="255">
        <f t="shared" si="384"/>
        <v>19</v>
      </c>
      <c r="CL102" s="255">
        <f t="shared" si="385"/>
        <v>0</v>
      </c>
      <c r="CM102" s="255">
        <f t="shared" si="386"/>
        <v>0</v>
      </c>
      <c r="CN102" s="261"/>
      <c r="CO102" s="261">
        <f t="shared" si="387"/>
        <v>0</v>
      </c>
      <c r="CP102" s="256"/>
      <c r="CQ102" s="797">
        <f t="shared" si="388"/>
        <v>45139</v>
      </c>
      <c r="CR102" s="454">
        <f>DATE(YEAR(CE102),MONTH(CE102)+CH102,DAY(CE102))</f>
        <v>45139</v>
      </c>
      <c r="CS102" s="752">
        <f>DATE(YEAR(CA102)+2,MONTH(CA102),DAY(CA102))</f>
        <v>731</v>
      </c>
      <c r="CT102" s="256"/>
      <c r="CU102" s="883">
        <f t="shared" si="389"/>
        <v>0</v>
      </c>
      <c r="CV102" s="256"/>
      <c r="CW102" s="749">
        <f t="shared" si="350"/>
        <v>45170</v>
      </c>
      <c r="CX102" s="612">
        <f>CW102</f>
        <v>45170</v>
      </c>
      <c r="CY102" s="753"/>
      <c r="CZ102" s="122"/>
      <c r="DA102" s="125"/>
      <c r="DB102" s="125"/>
      <c r="DC102" s="125"/>
      <c r="DD102" s="125"/>
      <c r="DE102" s="125"/>
      <c r="DF102" s="56"/>
      <c r="DG102" s="296">
        <f t="shared" si="390"/>
        <v>45505</v>
      </c>
      <c r="DH102" s="56"/>
      <c r="DI102" s="56"/>
      <c r="DJ102" s="56"/>
      <c r="DK102" s="56"/>
      <c r="DL102" s="56"/>
      <c r="DM102" s="56"/>
      <c r="DN102" s="56"/>
      <c r="DO102" s="56"/>
      <c r="DP102" s="56"/>
      <c r="DQ102" s="56"/>
      <c r="DR102" s="56"/>
      <c r="DS102" s="56"/>
      <c r="DT102" s="710"/>
      <c r="DU102" s="711"/>
      <c r="DV102" s="711"/>
      <c r="DW102" s="712"/>
      <c r="DX102" s="713"/>
      <c r="DY102" s="713"/>
      <c r="DZ102" s="715" t="str">
        <f t="shared" si="391"/>
        <v>0</v>
      </c>
      <c r="EA102" s="716"/>
      <c r="EB102" s="710"/>
      <c r="EC102" s="715" t="str">
        <f t="shared" si="392"/>
        <v>0</v>
      </c>
      <c r="ED102" s="716"/>
      <c r="EE102" s="710"/>
      <c r="EF102" s="715" t="str">
        <f t="shared" si="393"/>
        <v>0</v>
      </c>
      <c r="EG102" s="716"/>
      <c r="EH102" s="717"/>
      <c r="EI102" s="715" t="str">
        <f t="shared" si="394"/>
        <v>0</v>
      </c>
      <c r="EJ102" s="718"/>
      <c r="EK102" s="695"/>
      <c r="EL102" s="696"/>
      <c r="EM102" s="697" t="str">
        <f t="shared" si="395"/>
        <v>0</v>
      </c>
      <c r="EN102" s="695"/>
      <c r="EO102" s="696"/>
      <c r="EP102" s="697" t="str">
        <f t="shared" si="396"/>
        <v>0</v>
      </c>
      <c r="EQ102" s="695"/>
      <c r="ER102" s="696"/>
      <c r="ES102" s="697" t="str">
        <f t="shared" si="397"/>
        <v>0</v>
      </c>
      <c r="ET102" s="695"/>
      <c r="EU102" s="722"/>
      <c r="EV102" s="698" t="str">
        <f t="shared" si="398"/>
        <v>0</v>
      </c>
      <c r="EW102" s="699"/>
      <c r="EX102" s="700"/>
      <c r="EY102" s="697" t="str">
        <f t="shared" si="399"/>
        <v>0</v>
      </c>
      <c r="EZ102" s="702"/>
      <c r="FA102" s="701"/>
      <c r="FB102" s="697" t="str">
        <f t="shared" si="400"/>
        <v>0</v>
      </c>
      <c r="FC102" s="703"/>
      <c r="FD102" s="703"/>
      <c r="FE102" s="697" t="str">
        <f t="shared" si="401"/>
        <v>0</v>
      </c>
      <c r="FF102" s="703"/>
      <c r="FG102" s="703"/>
      <c r="FH102" s="697" t="str">
        <f t="shared" si="402"/>
        <v>0</v>
      </c>
      <c r="FI102" s="703"/>
      <c r="FJ102" s="703"/>
      <c r="FK102" s="697" t="str">
        <f t="shared" si="403"/>
        <v>0</v>
      </c>
      <c r="FL102" s="703"/>
      <c r="FM102" s="703"/>
      <c r="FN102" s="703"/>
      <c r="FO102" s="703"/>
      <c r="FP102" s="701">
        <f t="shared" si="404"/>
        <v>45139</v>
      </c>
      <c r="FQ102" s="699">
        <f t="shared" si="348"/>
        <v>0</v>
      </c>
      <c r="FR102" s="703"/>
      <c r="FS102" s="701">
        <f t="shared" si="405"/>
        <v>45170</v>
      </c>
      <c r="FT102" s="727"/>
      <c r="FU102" s="727"/>
      <c r="FV102" s="727"/>
      <c r="FW102" s="727"/>
      <c r="FX102" s="728">
        <f t="shared" si="406"/>
        <v>0</v>
      </c>
      <c r="FY102" s="728">
        <f t="shared" si="362"/>
        <v>1505.6666666666667</v>
      </c>
      <c r="FZ102" s="730"/>
      <c r="GA102" s="756"/>
      <c r="GB102" s="730"/>
      <c r="GC102" s="730"/>
      <c r="GD102" s="117"/>
      <c r="GE102" s="117"/>
      <c r="GF102" s="95">
        <f t="shared" si="374"/>
        <v>0</v>
      </c>
      <c r="GG102" s="70">
        <f t="shared" si="422"/>
        <v>0</v>
      </c>
      <c r="GH102" s="96">
        <f t="shared" si="328"/>
        <v>0</v>
      </c>
      <c r="GI102" s="52">
        <f t="shared" si="437"/>
        <v>0</v>
      </c>
      <c r="GJ102" s="52">
        <f t="shared" si="438"/>
        <v>0</v>
      </c>
      <c r="GK102" s="95"/>
      <c r="GL102" s="70"/>
      <c r="GM102" s="96">
        <f t="shared" si="331"/>
        <v>0</v>
      </c>
      <c r="GN102" s="136" t="e">
        <f t="shared" si="332"/>
        <v>#DIV/0!</v>
      </c>
      <c r="GO102" s="136">
        <v>0.4</v>
      </c>
      <c r="GP102" s="95"/>
      <c r="GQ102" s="70"/>
      <c r="GR102" s="70"/>
      <c r="GS102" s="22">
        <f t="shared" si="436"/>
        <v>0</v>
      </c>
      <c r="GT102" s="97"/>
      <c r="GU102" s="95"/>
      <c r="GV102" s="70">
        <f t="shared" si="439"/>
        <v>0</v>
      </c>
      <c r="GW102" s="89"/>
      <c r="GX102" s="89"/>
      <c r="GY102" s="97">
        <f t="shared" si="334"/>
        <v>0</v>
      </c>
      <c r="GZ102" s="889">
        <f t="shared" si="377"/>
        <v>0</v>
      </c>
      <c r="HA102" s="70"/>
      <c r="HB102" s="95"/>
      <c r="HC102" s="70"/>
      <c r="HD102" s="70"/>
      <c r="HE102" s="41" t="e">
        <f t="shared" si="345"/>
        <v>#DIV/0!</v>
      </c>
      <c r="HF102" s="95"/>
      <c r="HG102" s="70"/>
      <c r="HH102" s="91">
        <f t="shared" si="407"/>
        <v>0</v>
      </c>
      <c r="HI102" s="22">
        <f t="shared" si="346"/>
        <v>0</v>
      </c>
      <c r="HJ102" s="84">
        <f t="shared" si="423"/>
        <v>0</v>
      </c>
      <c r="HK102" s="91">
        <f t="shared" si="440"/>
        <v>0</v>
      </c>
      <c r="HL102" s="92">
        <v>6.31</v>
      </c>
      <c r="HM102" s="92"/>
      <c r="HN102" s="93"/>
      <c r="HO102" s="93"/>
      <c r="HP102" s="52">
        <f t="shared" si="441"/>
        <v>0</v>
      </c>
      <c r="HQ102" s="93"/>
      <c r="HR102" s="52">
        <f t="shared" si="442"/>
        <v>0</v>
      </c>
      <c r="HS102" s="53" t="e">
        <f t="shared" si="364"/>
        <v>#DIV/0!</v>
      </c>
      <c r="HT102" s="93"/>
      <c r="HU102" s="93"/>
      <c r="HV102" s="70"/>
      <c r="HW102" s="42">
        <f t="shared" si="365"/>
        <v>0</v>
      </c>
      <c r="HX102" s="293">
        <v>192726</v>
      </c>
      <c r="HY102" s="293">
        <f t="shared" si="344"/>
        <v>67454.500000000015</v>
      </c>
      <c r="HZ102" s="294">
        <v>42579</v>
      </c>
      <c r="IA102" s="301">
        <v>19273</v>
      </c>
      <c r="IB102" s="301"/>
      <c r="IC102" s="305"/>
      <c r="ID102" s="305"/>
      <c r="IE102" s="624">
        <v>9636.3000000000011</v>
      </c>
      <c r="IF102" s="253"/>
      <c r="IG102" s="290">
        <v>19272.600000000002</v>
      </c>
      <c r="IH102" s="269"/>
      <c r="II102" s="625">
        <v>19272.600000000002</v>
      </c>
      <c r="IJ102" s="295"/>
      <c r="IK102" s="300">
        <v>0</v>
      </c>
      <c r="IL102" s="298"/>
      <c r="IM102" s="298"/>
      <c r="IN102" s="292"/>
      <c r="IO102" s="297"/>
      <c r="IP102" s="292"/>
      <c r="IQ102" s="297"/>
      <c r="IR102" s="323"/>
      <c r="IS102" s="323"/>
      <c r="IT102" s="323"/>
      <c r="IU102" s="323"/>
      <c r="IV102" s="286"/>
      <c r="IW102" s="286"/>
      <c r="IX102" s="286"/>
      <c r="IY102" s="286"/>
      <c r="IZ102" s="286"/>
      <c r="JA102" s="286"/>
      <c r="JB102" s="297" t="e">
        <f>$JB$1*HX102</f>
        <v>#VALUE!</v>
      </c>
      <c r="JC102" s="122"/>
      <c r="JD102" s="295"/>
      <c r="JE102" s="122"/>
      <c r="JF102" s="122"/>
      <c r="JG102" s="295"/>
    </row>
    <row r="103" spans="1:267" ht="35.1" customHeight="1">
      <c r="A103" s="88" t="s">
        <v>249</v>
      </c>
      <c r="B103" s="56" t="s">
        <v>35</v>
      </c>
      <c r="C103" s="56" t="s">
        <v>113</v>
      </c>
      <c r="D103" s="56">
        <v>2021</v>
      </c>
      <c r="E103" s="56" t="s">
        <v>252</v>
      </c>
      <c r="F103" s="56" t="s">
        <v>419</v>
      </c>
      <c r="G103" s="56"/>
      <c r="H103" s="56" t="s">
        <v>248</v>
      </c>
      <c r="I103" s="56"/>
      <c r="J103" s="56"/>
      <c r="K103" s="272"/>
      <c r="L103" s="176"/>
      <c r="M103" s="177"/>
      <c r="N103" s="178"/>
      <c r="O103" s="217">
        <v>5300</v>
      </c>
      <c r="P103" s="217">
        <v>533400</v>
      </c>
      <c r="Q103" s="217">
        <v>533400</v>
      </c>
      <c r="R103" s="217">
        <f>P103/AD103</f>
        <v>7620</v>
      </c>
      <c r="S103" s="217">
        <f t="shared" si="426"/>
        <v>100.64150943396227</v>
      </c>
      <c r="T103" s="223">
        <v>100.64150943396227</v>
      </c>
      <c r="U103" s="223">
        <v>81.033042157235087</v>
      </c>
      <c r="V103" s="223">
        <v>6061.363636363636</v>
      </c>
      <c r="W103" s="217">
        <v>60.227272727272727</v>
      </c>
      <c r="X103" s="218"/>
      <c r="Y103" s="219">
        <f t="shared" si="443"/>
        <v>1.2419811320754717</v>
      </c>
      <c r="Z103" s="218" t="s">
        <v>192</v>
      </c>
      <c r="AA103" s="218">
        <v>560</v>
      </c>
      <c r="AB103" s="219">
        <v>0.1</v>
      </c>
      <c r="AC103" s="57" t="s">
        <v>16</v>
      </c>
      <c r="AD103" s="342">
        <f t="shared" si="380"/>
        <v>70</v>
      </c>
      <c r="AE103" s="67"/>
      <c r="AF103" s="56">
        <v>70</v>
      </c>
      <c r="AG103" s="67"/>
      <c r="AH103" s="67"/>
      <c r="AI103" s="60">
        <v>6582.5</v>
      </c>
      <c r="AJ103" s="94">
        <v>6582.5</v>
      </c>
      <c r="AK103" s="60">
        <f>AJ103/AD103</f>
        <v>94.035714285714292</v>
      </c>
      <c r="AL103" s="81">
        <v>0.15</v>
      </c>
      <c r="AM103" s="81">
        <v>0.3</v>
      </c>
      <c r="AN103" s="81">
        <v>0.3</v>
      </c>
      <c r="AO103" s="81">
        <v>0.2</v>
      </c>
      <c r="AP103" s="81">
        <v>0.06</v>
      </c>
      <c r="AQ103" s="60"/>
      <c r="AR103" s="79">
        <v>0</v>
      </c>
      <c r="AS103" s="81">
        <v>0</v>
      </c>
      <c r="AT103" s="60"/>
      <c r="AU103" s="59" t="s">
        <v>626</v>
      </c>
      <c r="AV103" s="56" t="s">
        <v>121</v>
      </c>
      <c r="AW103" s="250"/>
      <c r="AX103" s="56"/>
      <c r="AY103" s="114"/>
      <c r="AZ103" s="114"/>
      <c r="BA103" s="99"/>
      <c r="BB103" s="214"/>
      <c r="BC103" s="101"/>
      <c r="BD103" s="101"/>
      <c r="BE103" s="214"/>
      <c r="BF103" s="101"/>
      <c r="BG103" s="170"/>
      <c r="BH103" s="213"/>
      <c r="BI103" s="170"/>
      <c r="BJ103" s="170"/>
      <c r="BK103" s="102"/>
      <c r="BL103" s="198">
        <f>DATE(YEAR(BK103),MONTH(BK103)+24,DAY(BK103))</f>
        <v>731</v>
      </c>
      <c r="BM103" s="198">
        <f>DATE(YEAR(BK103),MONTH(BK103)+36,DAY(BK103))</f>
        <v>1096</v>
      </c>
      <c r="BN103" s="198"/>
      <c r="BO103" s="170"/>
      <c r="BP103" s="175"/>
      <c r="BQ103" s="102"/>
      <c r="BR103" s="103"/>
      <c r="BS103" s="103"/>
      <c r="BT103" s="103"/>
      <c r="BU103" s="168"/>
      <c r="BV103" s="266"/>
      <c r="BW103" s="266"/>
      <c r="BX103" s="167"/>
      <c r="BY103" s="266">
        <f>DATE(YEAR(BV103),MONTH(BV103)+18,DAY(BV103))</f>
        <v>547</v>
      </c>
      <c r="BZ103" s="266"/>
      <c r="CA103" s="266"/>
      <c r="CB103" s="266" t="s">
        <v>172</v>
      </c>
      <c r="CC103" s="781"/>
      <c r="CD103" s="615"/>
      <c r="CE103" s="452">
        <v>44593</v>
      </c>
      <c r="CF103" s="445"/>
      <c r="CG103" s="600">
        <f t="shared" si="381"/>
        <v>1486.4333333333334</v>
      </c>
      <c r="CH103" s="260">
        <v>24</v>
      </c>
      <c r="CI103" s="260">
        <f t="shared" si="382"/>
        <v>25</v>
      </c>
      <c r="CJ103" s="255">
        <f t="shared" si="383"/>
        <v>24</v>
      </c>
      <c r="CK103" s="255">
        <f t="shared" si="384"/>
        <v>25</v>
      </c>
      <c r="CL103" s="255">
        <f t="shared" si="385"/>
        <v>0</v>
      </c>
      <c r="CM103" s="255">
        <f t="shared" si="386"/>
        <v>0</v>
      </c>
      <c r="CN103" s="261"/>
      <c r="CO103" s="261">
        <f t="shared" si="387"/>
        <v>0</v>
      </c>
      <c r="CP103" s="256"/>
      <c r="CQ103" s="797">
        <f t="shared" si="388"/>
        <v>45323</v>
      </c>
      <c r="CR103" s="513">
        <f>DATE(YEAR(CE103),MONTH(CE103)+CH103,DAY(CE103))</f>
        <v>45323</v>
      </c>
      <c r="CS103" s="626">
        <f>DATE(YEAR(CA103)+2,MONTH(CA103),DAY(CA103))</f>
        <v>731</v>
      </c>
      <c r="CT103" s="196"/>
      <c r="CU103" s="882">
        <f t="shared" si="389"/>
        <v>0</v>
      </c>
      <c r="CV103" s="122"/>
      <c r="CW103" s="749">
        <f t="shared" si="350"/>
        <v>45352</v>
      </c>
      <c r="CX103" s="513">
        <f>CW103</f>
        <v>45352</v>
      </c>
      <c r="CY103" s="746"/>
      <c r="CZ103" s="289"/>
      <c r="DA103" s="125"/>
      <c r="DB103" s="125"/>
      <c r="DC103" s="125"/>
      <c r="DD103" s="125"/>
      <c r="DE103" s="125"/>
      <c r="DF103" s="56"/>
      <c r="DG103" s="296">
        <f t="shared" si="390"/>
        <v>45689</v>
      </c>
      <c r="DH103" s="56"/>
      <c r="DI103" s="56"/>
      <c r="DJ103" s="56"/>
      <c r="DK103" s="56"/>
      <c r="DL103" s="56"/>
      <c r="DM103" s="56"/>
      <c r="DN103" s="56"/>
      <c r="DO103" s="56"/>
      <c r="DP103" s="56"/>
      <c r="DQ103" s="56"/>
      <c r="DR103" s="56"/>
      <c r="DS103" s="56"/>
      <c r="DT103" s="713"/>
      <c r="DU103" s="711"/>
      <c r="DV103" s="711"/>
      <c r="DW103" s="712"/>
      <c r="DX103" s="713"/>
      <c r="DY103" s="713"/>
      <c r="DZ103" s="715" t="str">
        <f t="shared" si="391"/>
        <v>0</v>
      </c>
      <c r="EA103" s="716"/>
      <c r="EB103" s="710"/>
      <c r="EC103" s="715" t="str">
        <f t="shared" si="392"/>
        <v>0</v>
      </c>
      <c r="ED103" s="716"/>
      <c r="EE103" s="710"/>
      <c r="EF103" s="715" t="str">
        <f t="shared" si="393"/>
        <v>0</v>
      </c>
      <c r="EG103" s="716"/>
      <c r="EH103" s="717"/>
      <c r="EI103" s="715" t="str">
        <f t="shared" si="394"/>
        <v>0</v>
      </c>
      <c r="EJ103" s="714"/>
      <c r="EK103" s="695"/>
      <c r="EL103" s="696"/>
      <c r="EM103" s="697" t="str">
        <f t="shared" si="395"/>
        <v>0</v>
      </c>
      <c r="EN103" s="695"/>
      <c r="EO103" s="696"/>
      <c r="EP103" s="697" t="str">
        <f t="shared" si="396"/>
        <v>0</v>
      </c>
      <c r="EQ103" s="695"/>
      <c r="ER103" s="696"/>
      <c r="ES103" s="697" t="str">
        <f t="shared" si="397"/>
        <v>0</v>
      </c>
      <c r="ET103" s="695"/>
      <c r="EU103" s="722"/>
      <c r="EV103" s="698" t="str">
        <f t="shared" si="398"/>
        <v>0</v>
      </c>
      <c r="EW103" s="699"/>
      <c r="EX103" s="700"/>
      <c r="EY103" s="697" t="str">
        <f t="shared" si="399"/>
        <v>0</v>
      </c>
      <c r="EZ103" s="702"/>
      <c r="FA103" s="701"/>
      <c r="FB103" s="697" t="str">
        <f t="shared" si="400"/>
        <v>0</v>
      </c>
      <c r="FC103" s="703"/>
      <c r="FD103" s="703"/>
      <c r="FE103" s="697" t="str">
        <f t="shared" si="401"/>
        <v>0</v>
      </c>
      <c r="FF103" s="703"/>
      <c r="FG103" s="703"/>
      <c r="FH103" s="697" t="str">
        <f t="shared" si="402"/>
        <v>0</v>
      </c>
      <c r="FI103" s="703"/>
      <c r="FJ103" s="703"/>
      <c r="FK103" s="697" t="str">
        <f t="shared" si="403"/>
        <v>0</v>
      </c>
      <c r="FL103" s="703"/>
      <c r="FM103" s="703"/>
      <c r="FN103" s="703"/>
      <c r="FO103" s="703"/>
      <c r="FP103" s="701">
        <f t="shared" si="404"/>
        <v>45323</v>
      </c>
      <c r="FQ103" s="699">
        <f t="shared" si="348"/>
        <v>0</v>
      </c>
      <c r="FR103" s="703"/>
      <c r="FS103" s="701">
        <f t="shared" si="405"/>
        <v>45352</v>
      </c>
      <c r="FT103" s="727"/>
      <c r="FU103" s="727"/>
      <c r="FV103" s="727"/>
      <c r="FW103" s="727"/>
      <c r="FX103" s="728">
        <f t="shared" si="406"/>
        <v>0</v>
      </c>
      <c r="FY103" s="728">
        <f t="shared" si="362"/>
        <v>1511.7333333333333</v>
      </c>
      <c r="FZ103" s="724"/>
      <c r="GA103" s="741"/>
      <c r="GB103" s="724"/>
      <c r="GC103" s="724"/>
      <c r="GD103" s="117"/>
      <c r="GE103" s="117"/>
      <c r="GF103" s="95">
        <f t="shared" si="374"/>
        <v>0</v>
      </c>
      <c r="GG103" s="70">
        <f t="shared" si="422"/>
        <v>0</v>
      </c>
      <c r="GH103" s="96">
        <f t="shared" si="328"/>
        <v>0</v>
      </c>
      <c r="GI103" s="52">
        <f t="shared" si="437"/>
        <v>0</v>
      </c>
      <c r="GJ103" s="52">
        <f t="shared" si="438"/>
        <v>0</v>
      </c>
      <c r="GK103" s="95"/>
      <c r="GL103" s="70"/>
      <c r="GM103" s="96">
        <f t="shared" si="331"/>
        <v>0</v>
      </c>
      <c r="GN103" s="136" t="e">
        <f t="shared" si="332"/>
        <v>#DIV/0!</v>
      </c>
      <c r="GO103" s="136">
        <v>0.4</v>
      </c>
      <c r="GP103" s="95"/>
      <c r="GQ103" s="70"/>
      <c r="GR103" s="70"/>
      <c r="GS103" s="52">
        <f t="shared" si="436"/>
        <v>0</v>
      </c>
      <c r="GT103" s="97"/>
      <c r="GU103" s="95"/>
      <c r="GV103" s="70">
        <f t="shared" si="439"/>
        <v>0</v>
      </c>
      <c r="GW103" s="89"/>
      <c r="GX103" s="89"/>
      <c r="GY103" s="97">
        <f t="shared" si="334"/>
        <v>0</v>
      </c>
      <c r="GZ103" s="889">
        <f t="shared" si="377"/>
        <v>0</v>
      </c>
      <c r="HA103" s="70"/>
      <c r="HB103" s="95"/>
      <c r="HC103" s="70"/>
      <c r="HD103" s="70"/>
      <c r="HE103" s="90" t="e">
        <f t="shared" si="345"/>
        <v>#DIV/0!</v>
      </c>
      <c r="HF103" s="326"/>
      <c r="HG103" s="70"/>
      <c r="HH103" s="91">
        <f t="shared" si="407"/>
        <v>0</v>
      </c>
      <c r="HI103" s="52">
        <f t="shared" si="346"/>
        <v>0</v>
      </c>
      <c r="HJ103" s="84">
        <f t="shared" si="423"/>
        <v>0</v>
      </c>
      <c r="HK103" s="91">
        <f t="shared" si="440"/>
        <v>0</v>
      </c>
      <c r="HL103" s="92">
        <v>6.31</v>
      </c>
      <c r="HM103" s="92"/>
      <c r="HN103" s="93"/>
      <c r="HO103" s="93"/>
      <c r="HP103" s="52">
        <f t="shared" si="441"/>
        <v>0</v>
      </c>
      <c r="HQ103" s="93"/>
      <c r="HR103" s="52">
        <f t="shared" si="442"/>
        <v>0</v>
      </c>
      <c r="HS103" s="53" t="e">
        <f t="shared" si="364"/>
        <v>#DIV/0!</v>
      </c>
      <c r="HT103" s="93"/>
      <c r="HU103" s="93"/>
      <c r="HV103" s="70"/>
      <c r="HW103" s="98">
        <f t="shared" si="365"/>
        <v>0</v>
      </c>
      <c r="HX103" s="293"/>
      <c r="HY103" s="293">
        <f t="shared" si="344"/>
        <v>0</v>
      </c>
      <c r="HZ103" s="294"/>
      <c r="IA103" s="297">
        <v>0</v>
      </c>
      <c r="IB103" s="297"/>
      <c r="IC103" s="269"/>
      <c r="ID103" s="269"/>
      <c r="IE103" s="491">
        <v>0</v>
      </c>
      <c r="IF103" s="278"/>
      <c r="IG103" s="290">
        <v>0</v>
      </c>
      <c r="IH103" s="278"/>
      <c r="II103" s="625"/>
      <c r="IJ103" s="295"/>
      <c r="IK103" s="300"/>
      <c r="IL103" s="298"/>
      <c r="IM103" s="298"/>
      <c r="IN103" s="292"/>
      <c r="IO103" s="297"/>
      <c r="IP103" s="292"/>
      <c r="IQ103" s="297"/>
      <c r="IR103" s="323"/>
      <c r="IS103" s="323"/>
      <c r="IT103" s="323"/>
      <c r="IU103" s="323"/>
      <c r="IV103" s="286"/>
      <c r="IW103" s="286"/>
      <c r="IX103" s="286"/>
      <c r="IY103" s="286"/>
      <c r="IZ103" s="286"/>
      <c r="JA103" s="286"/>
      <c r="JB103" s="297" t="e">
        <f>$JB$1*HX103</f>
        <v>#VALUE!</v>
      </c>
      <c r="JC103" s="122"/>
      <c r="JD103" s="295"/>
      <c r="JE103" s="122"/>
      <c r="JF103" s="288"/>
      <c r="JG103" s="295"/>
    </row>
    <row r="104" spans="1:267" ht="24.95" customHeight="1">
      <c r="A104" s="88" t="s">
        <v>778</v>
      </c>
      <c r="B104" s="56" t="s">
        <v>483</v>
      </c>
      <c r="C104" s="56" t="s">
        <v>114</v>
      </c>
      <c r="D104" s="56">
        <v>2019</v>
      </c>
      <c r="E104" s="56"/>
      <c r="F104" s="56"/>
      <c r="G104" s="56"/>
      <c r="H104" s="58" t="s">
        <v>248</v>
      </c>
      <c r="I104" s="56"/>
      <c r="J104" s="56"/>
      <c r="K104" s="272"/>
      <c r="L104" s="176"/>
      <c r="M104" s="177"/>
      <c r="N104" s="178"/>
      <c r="O104" s="217"/>
      <c r="P104" s="217"/>
      <c r="Q104" s="217"/>
      <c r="R104" s="217">
        <f>P104/AD104</f>
        <v>0</v>
      </c>
      <c r="S104" s="217" t="e">
        <f t="shared" si="426"/>
        <v>#DIV/0!</v>
      </c>
      <c r="T104" s="223" t="e">
        <f>Q104/O104</f>
        <v>#DIV/0!</v>
      </c>
      <c r="U104" s="223" t="e">
        <f>Q104/AJ104</f>
        <v>#DIV/0!</v>
      </c>
      <c r="V104" s="223">
        <f>Q104/AD104</f>
        <v>0</v>
      </c>
      <c r="W104" s="217">
        <f>O104/AD104</f>
        <v>0</v>
      </c>
      <c r="X104" s="218"/>
      <c r="Y104" s="226" t="e">
        <f t="shared" si="443"/>
        <v>#DIV/0!</v>
      </c>
      <c r="Z104" s="218"/>
      <c r="AA104" s="218"/>
      <c r="AB104" s="219"/>
      <c r="AC104" s="56" t="s">
        <v>480</v>
      </c>
      <c r="AD104" s="342">
        <f t="shared" si="380"/>
        <v>60</v>
      </c>
      <c r="AE104" s="67"/>
      <c r="AF104" s="67"/>
      <c r="AG104" s="56">
        <v>60</v>
      </c>
      <c r="AH104" s="56"/>
      <c r="AI104" s="60"/>
      <c r="AJ104" s="94"/>
      <c r="AK104" s="10"/>
      <c r="AL104" s="81"/>
      <c r="AM104" s="81"/>
      <c r="AN104" s="81"/>
      <c r="AO104" s="81"/>
      <c r="AP104" s="81"/>
      <c r="AQ104" s="60"/>
      <c r="AR104" s="79"/>
      <c r="AS104" s="81"/>
      <c r="AT104" s="60"/>
      <c r="AU104" s="59"/>
      <c r="AV104" s="56"/>
      <c r="AW104" s="251"/>
      <c r="AX104" s="194"/>
      <c r="AY104" s="114"/>
      <c r="AZ104" s="114"/>
      <c r="BA104" s="99"/>
      <c r="BB104" s="214"/>
      <c r="BC104" s="101"/>
      <c r="BD104" s="101"/>
      <c r="BE104" s="214"/>
      <c r="BF104" s="101"/>
      <c r="BG104" s="170"/>
      <c r="BH104" s="213"/>
      <c r="BI104" s="170"/>
      <c r="BJ104" s="170"/>
      <c r="BK104" s="102"/>
      <c r="BL104" s="198"/>
      <c r="BM104" s="198"/>
      <c r="BN104" s="198"/>
      <c r="BO104" s="170"/>
      <c r="BP104" s="175"/>
      <c r="BQ104" s="102"/>
      <c r="BR104" s="103"/>
      <c r="BS104" s="103"/>
      <c r="BT104" s="103"/>
      <c r="BU104" s="168"/>
      <c r="BV104" s="266"/>
      <c r="BW104" s="266"/>
      <c r="BX104" s="167"/>
      <c r="BY104" s="266"/>
      <c r="BZ104" s="266"/>
      <c r="CA104" s="266"/>
      <c r="CB104" s="266"/>
      <c r="CC104" s="780">
        <f>DATEDIF(CX104,CB104,"M")</f>
        <v>0</v>
      </c>
      <c r="CD104" s="615"/>
      <c r="CE104" s="452"/>
      <c r="CF104" s="445"/>
      <c r="CG104" s="600"/>
      <c r="CH104" s="260"/>
      <c r="CI104" s="260"/>
      <c r="CJ104" s="255"/>
      <c r="CK104" s="255"/>
      <c r="CL104" s="255">
        <f t="shared" si="385"/>
        <v>0</v>
      </c>
      <c r="CM104" s="255"/>
      <c r="CN104" s="261"/>
      <c r="CO104" s="261"/>
      <c r="CP104" s="256"/>
      <c r="CQ104" s="797">
        <f t="shared" si="388"/>
        <v>0</v>
      </c>
      <c r="CR104" s="454"/>
      <c r="CS104" s="752"/>
      <c r="CT104" s="256"/>
      <c r="CU104" s="883">
        <f t="shared" si="389"/>
        <v>0</v>
      </c>
      <c r="CV104" s="256"/>
      <c r="CW104" s="749"/>
      <c r="CX104" s="612"/>
      <c r="CY104" s="753"/>
      <c r="CZ104" s="122"/>
      <c r="DA104" s="125"/>
      <c r="DB104" s="125"/>
      <c r="DC104" s="125"/>
      <c r="DD104" s="125"/>
      <c r="DE104" s="125"/>
      <c r="DF104" s="56"/>
      <c r="DG104" s="296">
        <f t="shared" si="390"/>
        <v>366</v>
      </c>
      <c r="DH104" s="56"/>
      <c r="DI104" s="56"/>
      <c r="DJ104" s="56"/>
      <c r="DK104" s="56"/>
      <c r="DL104" s="56"/>
      <c r="DM104" s="56"/>
      <c r="DN104" s="56"/>
      <c r="DO104" s="56"/>
      <c r="DP104" s="56"/>
      <c r="DQ104" s="56"/>
      <c r="DR104" s="56"/>
      <c r="DS104" s="56"/>
      <c r="DT104" s="710"/>
      <c r="DU104" s="713"/>
      <c r="DV104" s="713"/>
      <c r="DW104" s="715" t="str">
        <f>IF(AND(DU104&gt;0,DV104&gt;0),DV104-DU104,"0")</f>
        <v>0</v>
      </c>
      <c r="DX104" s="713"/>
      <c r="DY104" s="713"/>
      <c r="DZ104" s="715" t="str">
        <f t="shared" si="391"/>
        <v>0</v>
      </c>
      <c r="EA104" s="713"/>
      <c r="EB104" s="713"/>
      <c r="EC104" s="715" t="str">
        <f t="shared" si="392"/>
        <v>0</v>
      </c>
      <c r="ED104" s="713"/>
      <c r="EE104" s="713"/>
      <c r="EF104" s="715" t="str">
        <f t="shared" si="393"/>
        <v>0</v>
      </c>
      <c r="EG104" s="716"/>
      <c r="EH104" s="717"/>
      <c r="EI104" s="715" t="str">
        <f t="shared" si="394"/>
        <v>0</v>
      </c>
      <c r="EJ104" s="718"/>
      <c r="EK104" s="695"/>
      <c r="EL104" s="696"/>
      <c r="EM104" s="697" t="str">
        <f t="shared" si="395"/>
        <v>0</v>
      </c>
      <c r="EN104" s="695"/>
      <c r="EO104" s="696"/>
      <c r="EP104" s="697" t="str">
        <f t="shared" si="396"/>
        <v>0</v>
      </c>
      <c r="EQ104" s="695"/>
      <c r="ER104" s="696"/>
      <c r="ES104" s="697" t="str">
        <f t="shared" si="397"/>
        <v>0</v>
      </c>
      <c r="ET104" s="695"/>
      <c r="EU104" s="722"/>
      <c r="EV104" s="698" t="str">
        <f t="shared" si="398"/>
        <v>0</v>
      </c>
      <c r="EW104" s="699"/>
      <c r="EX104" s="700"/>
      <c r="EY104" s="697" t="str">
        <f t="shared" si="399"/>
        <v>0</v>
      </c>
      <c r="EZ104" s="701"/>
      <c r="FA104" s="701"/>
      <c r="FB104" s="697" t="str">
        <f t="shared" si="400"/>
        <v>0</v>
      </c>
      <c r="FC104" s="701"/>
      <c r="FD104" s="701"/>
      <c r="FE104" s="697" t="str">
        <f t="shared" si="401"/>
        <v>0</v>
      </c>
      <c r="FF104" s="701"/>
      <c r="FG104" s="701"/>
      <c r="FH104" s="697" t="str">
        <f t="shared" si="402"/>
        <v>0</v>
      </c>
      <c r="FI104" s="701"/>
      <c r="FJ104" s="701"/>
      <c r="FK104" s="697" t="str">
        <f t="shared" si="403"/>
        <v>0</v>
      </c>
      <c r="FL104" s="701"/>
      <c r="FM104" s="701"/>
      <c r="FN104" s="701"/>
      <c r="FO104" s="701"/>
      <c r="FP104" s="701">
        <f t="shared" si="404"/>
        <v>0</v>
      </c>
      <c r="FQ104" s="699">
        <f t="shared" si="348"/>
        <v>0</v>
      </c>
      <c r="FR104" s="701"/>
      <c r="FS104" s="701">
        <f t="shared" si="405"/>
        <v>0</v>
      </c>
      <c r="FT104" s="727"/>
      <c r="FU104" s="727"/>
      <c r="FV104" s="727"/>
      <c r="FW104" s="727"/>
      <c r="FX104" s="728">
        <f t="shared" si="406"/>
        <v>0</v>
      </c>
      <c r="FY104" s="728">
        <f t="shared" si="362"/>
        <v>0</v>
      </c>
      <c r="FZ104" s="724"/>
      <c r="GA104" s="741"/>
      <c r="GB104" s="724"/>
      <c r="GC104" s="724"/>
      <c r="GD104" s="117"/>
      <c r="GE104" s="117"/>
      <c r="GF104" s="95"/>
      <c r="GG104" s="70">
        <f t="shared" si="422"/>
        <v>0</v>
      </c>
      <c r="GH104" s="96"/>
      <c r="GI104" s="52"/>
      <c r="GJ104" s="52"/>
      <c r="GK104" s="95"/>
      <c r="GL104" s="70"/>
      <c r="GM104" s="96"/>
      <c r="GN104" s="136"/>
      <c r="GO104" s="137"/>
      <c r="GP104" s="95"/>
      <c r="GQ104" s="70"/>
      <c r="GR104" s="70"/>
      <c r="GS104" s="22">
        <f t="shared" si="436"/>
        <v>0</v>
      </c>
      <c r="GT104" s="97"/>
      <c r="GU104" s="95"/>
      <c r="GV104" s="70"/>
      <c r="GW104" s="89"/>
      <c r="GX104" s="89"/>
      <c r="GY104" s="97"/>
      <c r="GZ104" s="889">
        <f t="shared" si="377"/>
        <v>0</v>
      </c>
      <c r="HA104" s="70"/>
      <c r="HB104" s="304"/>
      <c r="HC104" s="70"/>
      <c r="HD104" s="70"/>
      <c r="HE104" s="41" t="e">
        <f t="shared" si="345"/>
        <v>#DIV/0!</v>
      </c>
      <c r="HF104" s="95"/>
      <c r="HG104" s="70"/>
      <c r="HH104" s="91"/>
      <c r="HI104" s="22">
        <f t="shared" si="346"/>
        <v>0</v>
      </c>
      <c r="HJ104" s="84">
        <f t="shared" si="423"/>
        <v>0</v>
      </c>
      <c r="HK104" s="91"/>
      <c r="HL104" s="92"/>
      <c r="HM104" s="92"/>
      <c r="HN104" s="93"/>
      <c r="HO104" s="93"/>
      <c r="HP104" s="52"/>
      <c r="HQ104" s="93"/>
      <c r="HR104" s="52"/>
      <c r="HS104" s="53"/>
      <c r="HT104" s="93"/>
      <c r="HU104" s="93"/>
      <c r="HV104" s="70"/>
      <c r="HW104" s="42"/>
      <c r="HX104" s="243"/>
      <c r="HY104" s="243">
        <f t="shared" si="344"/>
        <v>0</v>
      </c>
      <c r="HZ104" s="118"/>
      <c r="IA104" s="339"/>
      <c r="IB104" s="339"/>
      <c r="IC104" s="253"/>
      <c r="ID104" s="253"/>
      <c r="IE104" s="413"/>
      <c r="IF104" s="250"/>
      <c r="IG104" s="414"/>
      <c r="IH104" s="250"/>
      <c r="II104" s="414"/>
      <c r="IJ104" s="309"/>
      <c r="IK104" s="415"/>
      <c r="IL104" s="411"/>
      <c r="IM104" s="411"/>
      <c r="IN104" s="204"/>
      <c r="IO104" s="413"/>
      <c r="IP104" s="204"/>
      <c r="IQ104" s="413"/>
      <c r="IR104" s="309"/>
      <c r="IS104" s="309"/>
      <c r="IT104" s="309"/>
      <c r="IU104" s="309"/>
      <c r="IV104" s="286"/>
      <c r="IW104" s="286"/>
      <c r="IX104" s="286"/>
      <c r="IY104" s="286"/>
      <c r="IZ104" s="286"/>
      <c r="JA104" s="286"/>
      <c r="JB104" s="413"/>
      <c r="JC104" s="412"/>
      <c r="JD104" s="309"/>
      <c r="JE104" s="412"/>
      <c r="JF104" s="412"/>
      <c r="JG104" s="309"/>
    </row>
    <row r="105" spans="1:267" s="6" customFormat="1" ht="20.100000000000001" customHeight="1">
      <c r="A105" s="331"/>
      <c r="B105" s="139"/>
      <c r="C105" s="139"/>
      <c r="D105" s="139"/>
      <c r="E105" s="139"/>
      <c r="F105" s="139"/>
      <c r="G105" s="139"/>
      <c r="H105" s="139"/>
      <c r="I105" s="139"/>
      <c r="J105" s="139"/>
      <c r="K105" s="334"/>
      <c r="L105" s="205"/>
      <c r="M105" s="205"/>
      <c r="N105" s="205"/>
      <c r="O105" s="139"/>
      <c r="P105" s="139"/>
      <c r="Q105" s="139"/>
      <c r="R105" s="139"/>
      <c r="S105" s="139"/>
      <c r="T105" s="140"/>
      <c r="U105" s="139"/>
      <c r="V105" s="64"/>
      <c r="W105" s="139"/>
      <c r="X105" s="139"/>
      <c r="Y105" s="139"/>
      <c r="Z105" s="139"/>
      <c r="AA105" s="139"/>
      <c r="AB105" s="139"/>
      <c r="AC105" s="139"/>
      <c r="AD105" s="355">
        <f>SUM(Nlgts)</f>
        <v>3560</v>
      </c>
      <c r="AE105" s="18">
        <f>SUM(AE2:AE104)</f>
        <v>697</v>
      </c>
      <c r="AF105" s="18">
        <f>SUM(AF2:AF104)</f>
        <v>1785</v>
      </c>
      <c r="AG105" s="18">
        <f>SUM(AG2:AG104)</f>
        <v>428</v>
      </c>
      <c r="AH105" s="18">
        <f>SUM(AH2:AH104)</f>
        <v>650</v>
      </c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41"/>
      <c r="AS105" s="83"/>
      <c r="AT105" s="139"/>
      <c r="AU105" s="139"/>
      <c r="AV105" s="139"/>
      <c r="AW105" s="139"/>
      <c r="AX105" s="139"/>
      <c r="AY105" s="179"/>
      <c r="AZ105" s="179"/>
      <c r="BA105" s="3"/>
      <c r="BB105" s="3"/>
      <c r="BC105" s="3"/>
      <c r="BD105" s="180"/>
      <c r="BE105" s="180"/>
      <c r="BF105" s="180"/>
      <c r="BG105" s="181"/>
      <c r="BH105" s="181"/>
      <c r="BI105" s="181"/>
      <c r="BJ105" s="181"/>
      <c r="BK105" s="181"/>
      <c r="BL105" s="181"/>
      <c r="BM105" s="181"/>
      <c r="BN105" s="181"/>
      <c r="BO105" s="181"/>
      <c r="BP105" s="181"/>
      <c r="BQ105" s="182"/>
      <c r="BR105" s="183"/>
      <c r="BS105" s="183"/>
      <c r="BT105" s="183"/>
      <c r="BU105" s="184"/>
      <c r="BV105" s="231"/>
      <c r="BW105" s="231"/>
      <c r="BX105" s="185"/>
      <c r="BY105" s="185"/>
      <c r="BZ105" s="185"/>
      <c r="CA105" s="185"/>
      <c r="CB105" s="185"/>
      <c r="CC105" s="775"/>
      <c r="CD105" s="139"/>
      <c r="CE105" s="139"/>
      <c r="CF105" s="139"/>
      <c r="CG105" s="139"/>
      <c r="CH105" s="238"/>
      <c r="CI105" s="238"/>
      <c r="CJ105" s="139"/>
      <c r="CK105" s="139"/>
      <c r="CL105" s="139"/>
      <c r="CM105" s="139"/>
      <c r="CN105" s="139"/>
      <c r="CO105" s="139"/>
      <c r="CP105" s="139"/>
      <c r="CQ105" s="139"/>
      <c r="CR105" s="139"/>
      <c r="CS105" s="139"/>
      <c r="CT105" s="139"/>
      <c r="CU105" s="139"/>
      <c r="CV105" s="139"/>
      <c r="CW105" s="139"/>
      <c r="CX105" s="139"/>
      <c r="CY105" s="416"/>
      <c r="CZ105" s="139"/>
      <c r="DA105" s="139"/>
      <c r="DB105" s="139"/>
      <c r="DC105" s="139"/>
      <c r="DD105" s="139"/>
      <c r="DE105" s="139"/>
      <c r="DF105" s="139"/>
      <c r="DG105" s="139"/>
      <c r="DH105" s="139"/>
      <c r="DI105" s="139"/>
      <c r="DJ105" s="139"/>
      <c r="DK105" s="139"/>
      <c r="DL105" s="139"/>
      <c r="DM105" s="139"/>
      <c r="DN105" s="139"/>
      <c r="DO105" s="139"/>
      <c r="DP105" s="139"/>
      <c r="DQ105" s="139"/>
      <c r="DR105" s="139"/>
      <c r="DS105" s="139"/>
      <c r="DY105" s="733"/>
      <c r="ET105" s="15"/>
      <c r="EU105" s="15"/>
      <c r="EV105" s="15"/>
      <c r="EW105" s="15"/>
      <c r="EX105" s="15"/>
      <c r="FG105" s="15"/>
      <c r="FH105" s="15"/>
      <c r="FI105" s="15"/>
      <c r="FJ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764"/>
      <c r="FU105" s="764"/>
      <c r="FV105" s="764"/>
      <c r="FW105" s="764"/>
      <c r="GA105" s="757"/>
      <c r="GD105" s="185"/>
      <c r="GE105" s="185"/>
      <c r="GF105" s="142">
        <f>SUM(Bdgt)</f>
        <v>383751702.35000056</v>
      </c>
      <c r="GG105" s="142">
        <f>SUM(GG2:GG104)</f>
        <v>363787146.875</v>
      </c>
      <c r="GH105" s="143" t="e">
        <f>SUM(GH12:GK104)</f>
        <v>#DIV/0!</v>
      </c>
      <c r="GI105" s="142"/>
      <c r="GJ105" s="142"/>
      <c r="GK105" s="142">
        <f>SUM(GK2:GK104)</f>
        <v>218950035.67363253</v>
      </c>
      <c r="GL105" s="142">
        <f>SUM(GL2:GL104)</f>
        <v>178129062.09983569</v>
      </c>
      <c r="GM105" s="142"/>
      <c r="GN105" s="142"/>
      <c r="GO105" s="142"/>
      <c r="GP105" s="142">
        <f>SUM(GP2:GP104)</f>
        <v>109501949.35260479</v>
      </c>
      <c r="GQ105" s="142">
        <f>SUM(GQ2:GQ104)</f>
        <v>107421439.84999999</v>
      </c>
      <c r="GR105" s="142"/>
      <c r="GS105" s="142"/>
      <c r="GT105" s="142">
        <f t="shared" ref="GT105:GY105" si="445">SUM(GT12:GT104)</f>
        <v>6117691.4072378138</v>
      </c>
      <c r="GU105" s="142">
        <f t="shared" si="445"/>
        <v>212478374.53865239</v>
      </c>
      <c r="GV105" s="142">
        <f t="shared" si="445"/>
        <v>187414385.14499998</v>
      </c>
      <c r="GW105" s="142">
        <f t="shared" si="445"/>
        <v>35939851.300000004</v>
      </c>
      <c r="GX105" s="142">
        <f t="shared" si="445"/>
        <v>142430805.845</v>
      </c>
      <c r="GY105" s="142">
        <f t="shared" si="445"/>
        <v>-24909694.39365235</v>
      </c>
      <c r="GZ105" s="894"/>
      <c r="HA105" s="142"/>
      <c r="HB105" s="142">
        <f>SUM(HB2:HB104)</f>
        <v>39825573</v>
      </c>
      <c r="HC105" s="142">
        <f>SUM(HC2:HC104)</f>
        <v>36004734</v>
      </c>
      <c r="HD105" s="142"/>
      <c r="HE105" s="142" t="e">
        <f>SUM(HE12:HK104)</f>
        <v>#REF!</v>
      </c>
      <c r="HF105" s="142"/>
      <c r="HG105" s="142">
        <f t="shared" ref="HG105:HW105" si="446">SUM(HG2:HG104)</f>
        <v>4908141.7299999995</v>
      </c>
      <c r="HH105" s="142">
        <f t="shared" si="446"/>
        <v>-3459799</v>
      </c>
      <c r="HI105" s="142">
        <f t="shared" si="446"/>
        <v>1297410.1993720506</v>
      </c>
      <c r="HJ105" s="142">
        <f t="shared" si="446"/>
        <v>4697414.5767874597</v>
      </c>
      <c r="HK105" s="142" t="e">
        <f t="shared" si="446"/>
        <v>#REF!</v>
      </c>
      <c r="HL105" s="142">
        <f t="shared" si="446"/>
        <v>351.66</v>
      </c>
      <c r="HM105" s="142">
        <f t="shared" si="446"/>
        <v>174.50000000000003</v>
      </c>
      <c r="HN105" s="142">
        <f t="shared" si="446"/>
        <v>26012833.052462008</v>
      </c>
      <c r="HO105" s="142">
        <f t="shared" si="446"/>
        <v>12796145.386517435</v>
      </c>
      <c r="HP105" s="142" t="e">
        <f t="shared" si="446"/>
        <v>#REF!</v>
      </c>
      <c r="HQ105" s="142">
        <f t="shared" si="446"/>
        <v>3946842.3517225008</v>
      </c>
      <c r="HR105" s="142" t="e">
        <f t="shared" si="446"/>
        <v>#REF!</v>
      </c>
      <c r="HS105" s="142" t="e">
        <f t="shared" si="446"/>
        <v>#DIV/0!</v>
      </c>
      <c r="HT105" s="142">
        <f t="shared" si="446"/>
        <v>5900842.4151000008</v>
      </c>
      <c r="HU105" s="142">
        <f t="shared" si="446"/>
        <v>0</v>
      </c>
      <c r="HV105" s="142">
        <f t="shared" si="446"/>
        <v>2942685.15</v>
      </c>
      <c r="HW105" s="142">
        <f t="shared" si="446"/>
        <v>424197738.38613099</v>
      </c>
    </row>
    <row r="106" spans="1:267" s="6" customFormat="1" ht="14.25" customHeight="1">
      <c r="A106" s="331"/>
      <c r="B106" s="145"/>
      <c r="C106" s="145"/>
      <c r="D106" s="145"/>
      <c r="E106" s="145"/>
      <c r="F106" s="145"/>
      <c r="G106" s="145"/>
      <c r="H106" s="145"/>
      <c r="I106" s="145"/>
      <c r="J106" s="145"/>
      <c r="K106" s="335"/>
      <c r="L106" s="206"/>
      <c r="M106" s="206"/>
      <c r="N106" s="206"/>
      <c r="O106" s="145"/>
      <c r="P106" s="145"/>
      <c r="Q106" s="145"/>
      <c r="R106" s="145"/>
      <c r="S106" s="145"/>
      <c r="T106" s="144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60"/>
      <c r="AG106" s="160"/>
      <c r="AH106" s="160"/>
      <c r="AI106" s="145"/>
      <c r="AJ106" s="145"/>
      <c r="AK106" s="145"/>
      <c r="AL106" s="145"/>
      <c r="AM106" s="145"/>
      <c r="AN106" s="145"/>
      <c r="AO106" s="145"/>
      <c r="AP106" s="145"/>
      <c r="AQ106" s="145"/>
      <c r="AR106" s="146"/>
      <c r="AS106" s="107"/>
      <c r="AT106" s="145"/>
      <c r="AU106" s="145"/>
      <c r="AV106" s="145"/>
      <c r="AW106" s="145"/>
      <c r="AX106" s="145"/>
      <c r="AY106" s="186"/>
      <c r="AZ106" s="186"/>
      <c r="BA106" s="186"/>
      <c r="BB106" s="186"/>
      <c r="BC106" s="186"/>
      <c r="BD106" s="186"/>
      <c r="BE106" s="186"/>
      <c r="BF106" s="186"/>
      <c r="BG106" s="186"/>
      <c r="BH106" s="186"/>
      <c r="BI106" s="186"/>
      <c r="BJ106" s="186"/>
      <c r="BK106" s="186"/>
      <c r="BL106" s="186"/>
      <c r="BM106" s="186"/>
      <c r="BN106" s="186"/>
      <c r="BO106" s="186"/>
      <c r="BP106" s="186"/>
      <c r="BQ106" s="186"/>
      <c r="BR106" s="186"/>
      <c r="BS106" s="186"/>
      <c r="BT106" s="186"/>
      <c r="BU106" s="186"/>
      <c r="BV106" s="232"/>
      <c r="BW106" s="232"/>
      <c r="BX106" s="186"/>
      <c r="BY106" s="186"/>
      <c r="BZ106" s="186"/>
      <c r="CA106" s="186"/>
      <c r="CB106" s="186"/>
      <c r="CC106" s="776"/>
      <c r="CD106" s="145"/>
      <c r="CE106" s="145"/>
      <c r="CF106" s="145"/>
      <c r="CG106" s="145"/>
      <c r="CH106" s="239"/>
      <c r="CI106" s="239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145"/>
      <c r="CT106" s="145"/>
      <c r="CU106" s="145"/>
      <c r="CV106" s="145"/>
      <c r="CW106" s="145"/>
      <c r="CX106" s="145"/>
      <c r="CY106" s="417"/>
      <c r="CZ106" s="145"/>
      <c r="DA106" s="145"/>
      <c r="DB106" s="145"/>
      <c r="DC106" s="145"/>
      <c r="DD106" s="145"/>
      <c r="DE106" s="145"/>
      <c r="DF106" s="145"/>
      <c r="DG106" s="145"/>
      <c r="DH106" s="145"/>
      <c r="DI106" s="145"/>
      <c r="DJ106" s="145"/>
      <c r="DK106" s="145"/>
      <c r="DL106" s="145"/>
      <c r="DM106" s="145"/>
      <c r="DN106" s="145"/>
      <c r="DO106" s="145"/>
      <c r="DP106" s="145"/>
      <c r="DQ106" s="145"/>
      <c r="DR106" s="145"/>
      <c r="DS106" s="145"/>
      <c r="DU106" s="733"/>
      <c r="DV106" s="733"/>
      <c r="DY106" s="733"/>
      <c r="EA106" s="733"/>
      <c r="EG106" s="733"/>
      <c r="EH106" s="733"/>
      <c r="EJ106" s="733"/>
      <c r="EK106" s="733"/>
      <c r="EL106" s="733"/>
      <c r="EN106" s="733"/>
      <c r="EO106" s="733"/>
      <c r="EQ106" s="733"/>
      <c r="ER106" s="733"/>
      <c r="ET106" s="734"/>
      <c r="EU106" s="734"/>
      <c r="EV106" s="15"/>
      <c r="EW106" s="734"/>
      <c r="EX106" s="734"/>
      <c r="EZ106" s="733"/>
      <c r="FA106" s="733"/>
      <c r="FC106" s="733"/>
      <c r="FD106" s="733"/>
      <c r="FF106" s="733"/>
      <c r="FG106" s="734"/>
      <c r="FH106" s="15"/>
      <c r="FI106" s="734"/>
      <c r="FJ106" s="734"/>
      <c r="FK106" s="15"/>
      <c r="FL106" s="734"/>
      <c r="FM106" s="734"/>
      <c r="FN106" s="734"/>
      <c r="FO106" s="734"/>
      <c r="FP106" s="734"/>
      <c r="FQ106" s="15"/>
      <c r="FR106" s="734"/>
      <c r="FS106" s="734"/>
      <c r="FT106" s="764"/>
      <c r="FU106" s="764"/>
      <c r="FV106" s="764"/>
      <c r="FW106" s="764"/>
      <c r="GA106" s="757"/>
      <c r="GB106" s="757"/>
      <c r="GD106" s="186"/>
      <c r="GE106" s="823"/>
      <c r="GF106" s="142"/>
      <c r="GG106" s="145"/>
      <c r="GH106" s="144"/>
      <c r="GI106" s="145"/>
      <c r="GJ106" s="145"/>
      <c r="GK106" s="145"/>
      <c r="GL106" s="145"/>
      <c r="GM106" s="145"/>
      <c r="GN106" s="145"/>
      <c r="GO106" s="145"/>
      <c r="GP106" s="145"/>
      <c r="GQ106" s="145"/>
      <c r="GR106" s="145"/>
      <c r="GS106" s="145"/>
      <c r="GT106" s="145"/>
      <c r="GU106" s="145"/>
      <c r="GV106" s="145"/>
      <c r="GW106" s="145"/>
      <c r="GX106" s="145"/>
      <c r="GY106" s="145"/>
      <c r="GZ106" s="894"/>
      <c r="HA106" s="145"/>
      <c r="HB106" s="145"/>
      <c r="HC106" s="145"/>
      <c r="HD106" s="145"/>
      <c r="HE106" s="145"/>
      <c r="HF106" s="145"/>
      <c r="HG106" s="145"/>
      <c r="HH106" s="145"/>
      <c r="HI106" s="145"/>
      <c r="HJ106" s="145"/>
      <c r="HK106" s="145"/>
      <c r="HL106" s="145"/>
      <c r="HM106" s="145"/>
      <c r="HN106" s="147"/>
      <c r="HO106" s="147"/>
      <c r="HP106" s="147"/>
      <c r="HQ106" s="147"/>
      <c r="HR106" s="147"/>
      <c r="HS106" s="147"/>
      <c r="HT106" s="144"/>
      <c r="HU106" s="147"/>
      <c r="HV106" s="147"/>
      <c r="HW106" s="147"/>
    </row>
    <row r="107" spans="1:267" s="6" customFormat="1" ht="19.5" customHeight="1">
      <c r="A107" s="332"/>
      <c r="E107" s="15"/>
      <c r="F107" s="15"/>
      <c r="G107" s="15"/>
      <c r="H107" s="15"/>
      <c r="I107" s="15"/>
      <c r="J107" s="15"/>
      <c r="K107" s="336"/>
      <c r="L107" s="207"/>
      <c r="M107" s="207"/>
      <c r="N107" s="207"/>
      <c r="T107" s="15"/>
      <c r="AF107" s="160"/>
      <c r="AG107" s="160"/>
      <c r="AH107" s="160"/>
      <c r="AJ107" s="267"/>
      <c r="AL107" s="148"/>
      <c r="AM107" s="148"/>
      <c r="AN107" s="148"/>
      <c r="AO107" s="148"/>
      <c r="AP107" s="148"/>
      <c r="AR107" s="149"/>
      <c r="AS107" s="47"/>
      <c r="AY107" s="187"/>
      <c r="AZ107" s="188"/>
      <c r="BA107" s="187"/>
      <c r="BB107" s="188"/>
      <c r="BC107" s="188"/>
      <c r="BD107" s="187"/>
      <c r="BE107" s="187"/>
      <c r="BF107" s="187"/>
      <c r="BG107" s="187"/>
      <c r="BH107" s="187"/>
      <c r="BI107" s="187"/>
      <c r="BJ107" s="187"/>
      <c r="BK107" s="187"/>
      <c r="BL107" s="187"/>
      <c r="BM107" s="187"/>
      <c r="BN107" s="187"/>
      <c r="BO107" s="187"/>
      <c r="BP107" s="187"/>
      <c r="BQ107" s="187"/>
      <c r="BR107" s="187"/>
      <c r="BS107" s="187"/>
      <c r="BT107" s="187"/>
      <c r="BU107" s="187"/>
      <c r="BV107" s="233"/>
      <c r="BW107" s="233"/>
      <c r="BX107" s="187"/>
      <c r="BY107" s="187"/>
      <c r="BZ107" s="187"/>
      <c r="CA107" s="187"/>
      <c r="CB107" s="187"/>
      <c r="CC107" s="777"/>
      <c r="CH107" s="240"/>
      <c r="CI107" s="240"/>
      <c r="CY107" s="418"/>
      <c r="DU107" s="733"/>
      <c r="DV107" s="733"/>
      <c r="DW107" s="299"/>
      <c r="DY107" s="733"/>
      <c r="EA107" s="733"/>
      <c r="EG107" s="733"/>
      <c r="EH107" s="733"/>
      <c r="EJ107" s="733"/>
      <c r="EK107" s="733"/>
      <c r="EL107" s="733"/>
      <c r="EN107" s="733"/>
      <c r="EO107" s="733"/>
      <c r="EQ107" s="733"/>
      <c r="ER107" s="733"/>
      <c r="ES107" s="299"/>
      <c r="ET107" s="734"/>
      <c r="EU107" s="734"/>
      <c r="EV107" s="15"/>
      <c r="EW107" s="734"/>
      <c r="EX107" s="734"/>
      <c r="EZ107" s="733"/>
      <c r="FA107" s="733"/>
      <c r="FC107" s="733"/>
      <c r="FD107" s="733"/>
      <c r="FF107" s="733"/>
      <c r="FG107" s="734"/>
      <c r="FH107" s="15"/>
      <c r="FI107" s="734"/>
      <c r="FJ107" s="734"/>
      <c r="FK107" s="15"/>
      <c r="FL107" s="734"/>
      <c r="FM107" s="734"/>
      <c r="FN107" s="734"/>
      <c r="FO107" s="734"/>
      <c r="FP107" s="734"/>
      <c r="FQ107" s="15"/>
      <c r="FR107" s="734"/>
      <c r="FS107" s="734"/>
      <c r="FT107" s="764"/>
      <c r="FU107" s="764"/>
      <c r="FV107" s="764"/>
      <c r="FW107" s="764"/>
      <c r="GA107" s="757"/>
      <c r="GB107" s="757"/>
      <c r="GD107" s="187"/>
      <c r="GE107" s="824"/>
      <c r="GH107" s="15"/>
      <c r="GV107" s="6" t="s">
        <v>416</v>
      </c>
      <c r="GX107" s="6" t="s">
        <v>175</v>
      </c>
      <c r="GZ107" s="895"/>
      <c r="HT107" s="15"/>
      <c r="HW107" s="268"/>
    </row>
    <row r="108" spans="1:267" ht="15.75" thickBot="1">
      <c r="C108" s="150"/>
      <c r="O108" s="150"/>
      <c r="P108" s="150"/>
      <c r="Q108" s="150"/>
      <c r="R108" s="150"/>
      <c r="S108" s="150"/>
      <c r="T108" s="150"/>
      <c r="U108" s="150"/>
      <c r="V108" s="150"/>
      <c r="W108" s="150"/>
      <c r="X108" s="150"/>
      <c r="Y108" s="150"/>
      <c r="Z108" s="150"/>
      <c r="AA108" s="150"/>
      <c r="AB108" s="150"/>
      <c r="CV108" s="801"/>
      <c r="FI108" s="734"/>
      <c r="FJ108" s="734"/>
      <c r="FK108" s="15"/>
      <c r="FL108" s="734"/>
      <c r="FM108" s="734"/>
      <c r="FN108" s="734"/>
      <c r="FO108" s="734"/>
      <c r="FP108" s="734"/>
      <c r="FQ108" s="15"/>
      <c r="FR108" s="734"/>
      <c r="FS108" s="734"/>
      <c r="GF108" s="152"/>
      <c r="GI108" s="152"/>
      <c r="GJ108" s="152"/>
      <c r="GP108" s="152"/>
      <c r="HB108" s="153"/>
      <c r="HC108" s="153"/>
      <c r="HD108" s="15"/>
      <c r="HE108" s="15"/>
      <c r="HF108" s="15"/>
      <c r="HG108" s="15"/>
      <c r="HH108" s="15"/>
      <c r="HI108" s="15"/>
      <c r="HJ108" s="15"/>
    </row>
    <row r="109" spans="1:267" ht="15.75" thickBot="1">
      <c r="AD109" s="27">
        <f>SUBTOTAL(9,AD2:AD104)</f>
        <v>3560</v>
      </c>
      <c r="AE109" s="27">
        <f>SUBTOTAL(9,AE2:AE104)</f>
        <v>697</v>
      </c>
      <c r="AF109" s="27">
        <f>SUBTOTAL(9,AF2:AF104)</f>
        <v>1785</v>
      </c>
      <c r="AG109" s="27">
        <f>SUBTOTAL(9,AG2:AG104)</f>
        <v>428</v>
      </c>
      <c r="AH109" s="27">
        <f>SUBTOTAL(9,AH2:AH104)</f>
        <v>650</v>
      </c>
      <c r="AI109" s="54">
        <f>SUBTOTAL(9,AI24:AI104)</f>
        <v>140274.16799999998</v>
      </c>
      <c r="AJ109" s="54">
        <f>SUBTOTAL(9,AJ24:AJ104)</f>
        <v>136396.44999999995</v>
      </c>
      <c r="AK109" s="87">
        <f>AJ109/AD109</f>
        <v>38.313609550561786</v>
      </c>
      <c r="BX109" s="236"/>
      <c r="BY109" s="190">
        <f>SUBTOTAL(9,BY25:BY37)</f>
        <v>550772</v>
      </c>
      <c r="BZ109" s="190"/>
      <c r="CA109" s="190"/>
      <c r="CB109" s="190"/>
      <c r="CC109" s="779"/>
      <c r="FI109" s="734"/>
      <c r="FJ109" s="734"/>
      <c r="FK109" s="15"/>
      <c r="FL109" s="734"/>
      <c r="FM109" s="734"/>
      <c r="FN109" s="734"/>
      <c r="FO109" s="734"/>
      <c r="FP109" s="734"/>
      <c r="FQ109" s="15"/>
      <c r="FR109" s="734"/>
      <c r="FS109" s="734"/>
      <c r="GF109" s="28">
        <f>SUBTOTAL(9,GF2:GF104)</f>
        <v>391351253.35000056</v>
      </c>
      <c r="GG109" s="28">
        <f>SUBTOTAL(9,GG2:GG104)</f>
        <v>363787146.875</v>
      </c>
      <c r="GH109" s="153">
        <f>SUBTOTAL(9,GH24:GH104)</f>
        <v>-27932111.589632485</v>
      </c>
      <c r="GI109" s="28">
        <f>GG109/AJ109</f>
        <v>2667.1306098875748</v>
      </c>
      <c r="GJ109" s="28">
        <f>GG109/AD109</f>
        <v>102187.40080758427</v>
      </c>
      <c r="GK109" s="28">
        <f>SUBTOTAL(9,GK2:GK104)</f>
        <v>218950035.67363253</v>
      </c>
      <c r="GL109" s="28">
        <f>SUBTOTAL(9,GL2:GL104)</f>
        <v>178129062.09983569</v>
      </c>
      <c r="GM109" s="153">
        <f>GK109-GL109</f>
        <v>40820973.573796839</v>
      </c>
      <c r="GN109" s="153"/>
      <c r="GO109" s="153"/>
      <c r="GP109" s="28">
        <f>SUBTOTAL(9,GP2:GP104)</f>
        <v>109501949.35260479</v>
      </c>
      <c r="GQ109" s="28">
        <f>SUBTOTAL(9,GQ2:GQ104)</f>
        <v>107421439.84999999</v>
      </c>
      <c r="GR109" s="28"/>
      <c r="GS109" s="28">
        <f>+GQ109/AD109</f>
        <v>30174.561755617975</v>
      </c>
      <c r="GT109" s="153">
        <f>GQ109-GP109</f>
        <v>-2080509.5026047975</v>
      </c>
      <c r="GU109" s="28">
        <f>SUBTOTAL(9,GU2:GU104)</f>
        <v>232678789.53865236</v>
      </c>
      <c r="GV109" s="28">
        <f>SUBTOTAL(9,GV2:GV104)</f>
        <v>204230737.14499998</v>
      </c>
      <c r="GW109" s="54">
        <f>SUBTOTAL(9,GW2:GW104)</f>
        <v>40988559.299999997</v>
      </c>
      <c r="GX109" s="54">
        <f>SUBTOTAL(9,GX2:GX104)</f>
        <v>157582512.845</v>
      </c>
      <c r="GY109" s="153">
        <f>SUBTOTAL(9,GY24:GY104)</f>
        <v>-24802643.39365235</v>
      </c>
      <c r="GZ109" s="897">
        <f>GV109/AD109</f>
        <v>57368.184591292127</v>
      </c>
      <c r="HA109" s="153"/>
      <c r="HB109" s="28">
        <f>SUBTOTAL(9,HB2:HB104)</f>
        <v>39825573</v>
      </c>
      <c r="HC109" s="28">
        <f>SUBTOTAL(9,HC2:HC104)</f>
        <v>36004734</v>
      </c>
      <c r="HD109" s="28">
        <f>SUBTOTAL(9,HD2:HD104)</f>
        <v>964500</v>
      </c>
      <c r="HE109" s="15"/>
      <c r="HF109" s="28">
        <f>SUBTOTAL(9,HF2:HF104)</f>
        <v>5175971</v>
      </c>
      <c r="HG109" s="28">
        <f>SUBTOTAL(9,HG2:HG104)</f>
        <v>4908141.7299999995</v>
      </c>
      <c r="HH109" s="28">
        <f>SUBTOTAL(9,HH2:HH104)</f>
        <v>-3459799</v>
      </c>
      <c r="HI109" s="28">
        <f>+HB109/AD109</f>
        <v>11186.958707865169</v>
      </c>
      <c r="HJ109" s="28">
        <f>(GQ109+HC109)/AD109</f>
        <v>40288.251081460672</v>
      </c>
      <c r="HK109" s="29">
        <f>+HC109/AE109</f>
        <v>51656.720229555234</v>
      </c>
      <c r="HL109" s="29"/>
      <c r="HM109" s="29"/>
      <c r="HN109" s="28">
        <f>SUBTOTAL(9,HN2:HN104)</f>
        <v>26012833.052462008</v>
      </c>
      <c r="HO109" s="28">
        <f>SUBTOTAL(9,HO2:HO104)</f>
        <v>12796145.386517435</v>
      </c>
      <c r="HP109" s="30">
        <f>(GQ109+HC109+HO109)/AD109</f>
        <v>43882.673942841975</v>
      </c>
      <c r="HQ109" s="28">
        <f>SUBTOTAL(9,HQ2:HQ104)</f>
        <v>3946842.3517225008</v>
      </c>
      <c r="HR109" s="28">
        <f>(GQ109+HC109+HO109+HQ109)/AD109</f>
        <v>44991.337524786497</v>
      </c>
      <c r="HS109" s="31"/>
      <c r="HT109" s="31">
        <f>SUBTOTAL(9,HT2:HT104)</f>
        <v>5900842.4151000008</v>
      </c>
      <c r="HU109" s="28">
        <f>SUBTOTAL(9,HU2:HU104)</f>
        <v>0</v>
      </c>
      <c r="HV109" s="28">
        <f>SUBTOTAL(9,HV2:HV104)</f>
        <v>2942685.15</v>
      </c>
      <c r="HW109" s="15">
        <f>SUBTOTAL(9,HW25:HW37)</f>
        <v>95938680.159051523</v>
      </c>
    </row>
    <row r="110" spans="1:267">
      <c r="T110" s="15">
        <f>4599916/AD109</f>
        <v>1292.1112359550561</v>
      </c>
      <c r="AE110" s="32">
        <f>AE109/$AD$109</f>
        <v>0.19578651685393259</v>
      </c>
      <c r="AF110" s="32">
        <f>AF109/$AD$109</f>
        <v>0.5014044943820225</v>
      </c>
      <c r="AG110" s="32"/>
      <c r="AH110" s="32"/>
      <c r="CI110" s="241">
        <f>12*30</f>
        <v>360</v>
      </c>
      <c r="CM110" s="564" t="s">
        <v>739</v>
      </c>
      <c r="FI110" s="734"/>
      <c r="FJ110" s="734"/>
      <c r="FK110" s="15"/>
      <c r="FL110" s="734"/>
      <c r="FM110" s="734"/>
      <c r="FN110" s="734"/>
      <c r="FO110" s="734"/>
      <c r="FP110" s="734"/>
      <c r="FQ110" s="15"/>
      <c r="FR110" s="734"/>
      <c r="FS110" s="734"/>
      <c r="GP110" s="32">
        <f>GP109/GF109</f>
        <v>0.27980477490555772</v>
      </c>
      <c r="HB110" s="32">
        <f>HB109/GF109</f>
        <v>0.10176426588413773</v>
      </c>
      <c r="HC110" s="153"/>
      <c r="HD110" s="153"/>
      <c r="HE110" s="15"/>
      <c r="HF110" s="15"/>
      <c r="HG110" s="15"/>
      <c r="HH110" s="15"/>
      <c r="HI110" s="15"/>
      <c r="HJ110" s="15"/>
      <c r="HU110" s="44"/>
    </row>
    <row r="111" spans="1:267">
      <c r="Y111" s="15" t="s">
        <v>632</v>
      </c>
      <c r="AR111" s="15"/>
      <c r="AS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241"/>
      <c r="CH111" s="15"/>
      <c r="CI111" s="15"/>
      <c r="FI111" s="734"/>
      <c r="FJ111" s="734"/>
      <c r="FK111" s="15"/>
      <c r="FL111" s="734"/>
      <c r="FM111" s="734"/>
      <c r="FN111" s="734"/>
      <c r="FO111" s="734"/>
      <c r="FP111" s="734"/>
      <c r="FQ111" s="15"/>
      <c r="FR111" s="734"/>
      <c r="FS111" s="734"/>
      <c r="GD111" s="15"/>
      <c r="GE111" s="827"/>
      <c r="GU111" s="152"/>
      <c r="HC111" s="316"/>
      <c r="HD111" s="71"/>
      <c r="HE111" s="73"/>
      <c r="HF111" s="73"/>
      <c r="HG111" s="15"/>
      <c r="HH111" s="15"/>
      <c r="HI111" s="72"/>
      <c r="HJ111" s="72"/>
      <c r="HU111" s="44"/>
      <c r="HX111" s="207"/>
      <c r="HY111" s="207"/>
    </row>
    <row r="112" spans="1:267" ht="34.15" customHeight="1">
      <c r="A112" s="434"/>
      <c r="B112" s="154"/>
      <c r="G112" s="15">
        <f>AD109+55</f>
        <v>3615</v>
      </c>
      <c r="W112" s="15">
        <f>O44/AF112</f>
        <v>72.262760929384754</v>
      </c>
      <c r="X112" s="15">
        <f>Y112/W44</f>
        <v>36.162988115449913</v>
      </c>
      <c r="Y112" s="15">
        <v>3550</v>
      </c>
      <c r="AE112" s="32"/>
      <c r="AF112" s="8">
        <f>AJ112/AK112</f>
        <v>24.452428571428573</v>
      </c>
      <c r="AG112" s="140"/>
      <c r="AH112" s="140"/>
      <c r="AJ112" s="459">
        <f>AJ44</f>
        <v>1711.67</v>
      </c>
      <c r="AK112" s="15">
        <v>70</v>
      </c>
      <c r="CR112" s="241"/>
      <c r="CS112" s="241"/>
      <c r="FI112" s="734"/>
      <c r="FJ112" s="734"/>
      <c r="FK112" s="15"/>
      <c r="FL112" s="734"/>
      <c r="FM112" s="734"/>
      <c r="FN112" s="734"/>
      <c r="FO112" s="734"/>
      <c r="FP112" s="734"/>
      <c r="FQ112" s="15"/>
      <c r="FR112" s="734"/>
      <c r="FS112" s="734"/>
      <c r="GF112" s="153"/>
      <c r="GG112" s="152">
        <f>GG109*1.2944%</f>
        <v>4708860.8291500006</v>
      </c>
      <c r="HB112" s="76" t="s">
        <v>369</v>
      </c>
      <c r="HF112" s="77">
        <f>SUBTOTAL(9,HF113:HF114)</f>
        <v>5521553</v>
      </c>
      <c r="HG112" s="77">
        <f>SUBTOTAL(9,HG113:HG114)</f>
        <v>358</v>
      </c>
      <c r="HI112" s="264">
        <f t="shared" ref="HI112:HI119" si="447">HF112/HG112</f>
        <v>15423.332402234637</v>
      </c>
      <c r="HJ112" s="72"/>
      <c r="HU112" s="44"/>
      <c r="HV112" s="153"/>
    </row>
    <row r="113" spans="1:230">
      <c r="X113" s="15">
        <f>Y112/W112</f>
        <v>49.126271323469965</v>
      </c>
      <c r="AD113" s="15">
        <f>196+69</f>
        <v>265</v>
      </c>
      <c r="AE113" s="32"/>
      <c r="AF113" s="32"/>
      <c r="AG113" s="32"/>
      <c r="AH113" s="32"/>
      <c r="CH113" s="241" t="s">
        <v>385</v>
      </c>
      <c r="CR113" s="241"/>
      <c r="CS113" s="241"/>
      <c r="FI113" s="734"/>
      <c r="FJ113" s="734"/>
      <c r="FK113" s="15"/>
      <c r="FL113" s="734"/>
      <c r="FM113" s="734"/>
      <c r="FN113" s="734"/>
      <c r="FO113" s="734"/>
      <c r="FP113" s="734"/>
      <c r="FQ113" s="15"/>
      <c r="FR113" s="734"/>
      <c r="FS113" s="734"/>
      <c r="GF113" s="153"/>
      <c r="GG113" s="15">
        <f>GG109*1.204232%</f>
        <v>4380841.2345557502</v>
      </c>
      <c r="HB113" s="15" t="s">
        <v>367</v>
      </c>
      <c r="HF113" s="153">
        <v>4441553</v>
      </c>
      <c r="HG113" s="153">
        <v>304</v>
      </c>
      <c r="HI113" s="265">
        <f t="shared" si="447"/>
        <v>14610.371710526315</v>
      </c>
      <c r="HJ113" s="15"/>
      <c r="HU113" s="44"/>
    </row>
    <row r="114" spans="1:230">
      <c r="A114" s="435"/>
      <c r="D114" s="155"/>
      <c r="AD114" s="241"/>
      <c r="AE114" s="241"/>
      <c r="AF114" s="241"/>
      <c r="AG114" s="241"/>
      <c r="CH114" s="241" t="s">
        <v>270</v>
      </c>
      <c r="CJ114" s="15" t="s">
        <v>386</v>
      </c>
      <c r="DR114" s="188"/>
      <c r="DS114" s="188"/>
      <c r="FI114" s="734"/>
      <c r="FJ114" s="734"/>
      <c r="FK114" s="15"/>
      <c r="FL114" s="734"/>
      <c r="FM114" s="734"/>
      <c r="FN114" s="734"/>
      <c r="FO114" s="734"/>
      <c r="FP114" s="734"/>
      <c r="FQ114" s="15"/>
      <c r="FR114" s="734"/>
      <c r="FS114" s="734"/>
      <c r="GD114" s="15"/>
      <c r="GE114" s="827"/>
      <c r="GG114" s="152">
        <f>GG112-GG113</f>
        <v>328019.59459425043</v>
      </c>
      <c r="HB114" s="15" t="s">
        <v>368</v>
      </c>
      <c r="HF114" s="15">
        <v>1080000</v>
      </c>
      <c r="HG114" s="263">
        <v>54</v>
      </c>
      <c r="HI114" s="265">
        <f t="shared" si="447"/>
        <v>20000</v>
      </c>
      <c r="HJ114" s="15"/>
    </row>
    <row r="115" spans="1:230" ht="26.45" customHeight="1">
      <c r="O115" s="156"/>
      <c r="P115" s="156" t="s">
        <v>61</v>
      </c>
      <c r="R115" s="155"/>
      <c r="AC115" s="151"/>
      <c r="AD115" s="32"/>
      <c r="AR115" s="15"/>
      <c r="AS115" s="15"/>
      <c r="BG115" s="189"/>
      <c r="BH115" s="189"/>
      <c r="BI115" s="189"/>
      <c r="BJ115" s="189"/>
      <c r="BK115" s="189"/>
      <c r="BL115" s="189"/>
      <c r="BM115" s="189"/>
      <c r="BN115" s="189"/>
      <c r="BO115" s="189"/>
      <c r="BT115" s="188"/>
      <c r="CH115" s="306" t="s">
        <v>387</v>
      </c>
      <c r="CJ115" s="306" t="s">
        <v>56</v>
      </c>
      <c r="DR115" s="188"/>
      <c r="DS115" s="188"/>
      <c r="FI115" s="734"/>
      <c r="FJ115" s="734"/>
      <c r="FK115" s="15"/>
      <c r="FL115" s="734"/>
      <c r="FM115" s="734"/>
      <c r="FN115" s="734"/>
      <c r="FO115" s="734"/>
      <c r="FP115" s="734"/>
      <c r="FQ115" s="15"/>
      <c r="FR115" s="734"/>
      <c r="FS115" s="734"/>
      <c r="GD115" s="15"/>
      <c r="GE115" s="827"/>
      <c r="GM115" s="78"/>
      <c r="GN115" s="78"/>
      <c r="GO115" s="71"/>
      <c r="GP115" s="73"/>
      <c r="GT115" s="72"/>
      <c r="GU115" s="72"/>
      <c r="HB115" s="76" t="s">
        <v>366</v>
      </c>
      <c r="HF115" s="77">
        <f>SUBTOTAL(9,HF116:HF117)</f>
        <v>6045000</v>
      </c>
      <c r="HG115" s="77">
        <f>SUBTOTAL(9,HG116:HG117)</f>
        <v>366</v>
      </c>
      <c r="HI115" s="264">
        <f t="shared" si="447"/>
        <v>16516.39344262295</v>
      </c>
      <c r="HJ115" s="264">
        <f>376*HI116</f>
        <v>5925458.1939799329</v>
      </c>
    </row>
    <row r="116" spans="1:230">
      <c r="O116" s="152"/>
      <c r="P116" s="152" t="e">
        <f>SUMPRODUCT((Ville=A198)*($HB$4:$HB$104))</f>
        <v>#N/A</v>
      </c>
      <c r="R116" s="155"/>
      <c r="AC116" s="151"/>
      <c r="AD116" s="32"/>
      <c r="AR116" s="15"/>
      <c r="AS116" s="15"/>
      <c r="BG116" s="189"/>
      <c r="BH116" s="189"/>
      <c r="BI116" s="189"/>
      <c r="BJ116" s="189"/>
      <c r="BK116" s="189"/>
      <c r="BL116" s="189"/>
      <c r="BM116" s="189"/>
      <c r="BN116" s="189"/>
      <c r="BO116" s="189"/>
      <c r="BT116" s="188"/>
      <c r="CH116" s="306" t="s">
        <v>165</v>
      </c>
      <c r="CJ116" s="15" t="s">
        <v>396</v>
      </c>
      <c r="CK116" s="15" t="s">
        <v>129</v>
      </c>
      <c r="DR116" s="188"/>
      <c r="DS116" s="188"/>
      <c r="FI116" s="734"/>
      <c r="FJ116" s="734"/>
      <c r="FK116" s="15"/>
      <c r="FL116" s="734"/>
      <c r="FM116" s="734"/>
      <c r="FN116" s="734"/>
      <c r="FO116" s="734"/>
      <c r="FP116" s="734"/>
      <c r="FQ116" s="15"/>
      <c r="FR116" s="734"/>
      <c r="FS116" s="734"/>
      <c r="GD116" s="15"/>
      <c r="GE116" s="827"/>
      <c r="GK116" s="152"/>
      <c r="GL116" s="152"/>
      <c r="GM116" s="33"/>
      <c r="GN116" s="33"/>
      <c r="GO116" s="33"/>
      <c r="HB116" s="15" t="s">
        <v>367</v>
      </c>
      <c r="HF116" s="153">
        <v>4712000</v>
      </c>
      <c r="HG116" s="15">
        <v>299</v>
      </c>
      <c r="HI116" s="265">
        <f t="shared" si="447"/>
        <v>15759.197324414716</v>
      </c>
      <c r="HJ116" s="15"/>
    </row>
    <row r="117" spans="1:230">
      <c r="E117" s="15" t="s">
        <v>175</v>
      </c>
      <c r="O117" s="152"/>
      <c r="P117" s="152" t="e">
        <f>SUMPRODUCT((Ville=A199)*($HB$4:$HB$104))</f>
        <v>#N/A</v>
      </c>
      <c r="AC117" s="151"/>
      <c r="AD117" s="32"/>
      <c r="AR117" s="15"/>
      <c r="AS117" s="15"/>
      <c r="BG117" s="189"/>
      <c r="BH117" s="189"/>
      <c r="BI117" s="189"/>
      <c r="BJ117" s="189"/>
      <c r="BK117" s="189"/>
      <c r="BL117" s="189"/>
      <c r="BM117" s="189"/>
      <c r="BN117" s="189"/>
      <c r="BO117" s="189"/>
      <c r="BT117" s="188"/>
      <c r="CH117" s="241" t="s">
        <v>388</v>
      </c>
      <c r="CI117" s="241" t="s">
        <v>129</v>
      </c>
      <c r="CJ117" s="15" t="s">
        <v>257</v>
      </c>
      <c r="CK117" s="15" t="s">
        <v>129</v>
      </c>
      <c r="DR117" s="188"/>
      <c r="DS117" s="188"/>
      <c r="FI117" s="734"/>
      <c r="FJ117" s="734"/>
      <c r="FK117" s="15"/>
      <c r="FL117" s="734"/>
      <c r="FM117" s="734"/>
      <c r="FN117" s="734"/>
      <c r="FO117" s="734"/>
      <c r="FP117" s="734"/>
      <c r="FQ117" s="15"/>
      <c r="FR117" s="734"/>
      <c r="FS117" s="734"/>
      <c r="GD117" s="15"/>
      <c r="GE117" s="827"/>
      <c r="GM117" s="33"/>
      <c r="GN117" s="33"/>
      <c r="GO117" s="33"/>
      <c r="HB117" s="15" t="s">
        <v>368</v>
      </c>
      <c r="HF117" s="153">
        <v>1333000</v>
      </c>
      <c r="HG117" s="15">
        <v>67</v>
      </c>
      <c r="HI117" s="265">
        <f t="shared" si="447"/>
        <v>19895.5223880597</v>
      </c>
      <c r="HJ117" s="15"/>
    </row>
    <row r="118" spans="1:230" ht="28.5" customHeight="1">
      <c r="O118" s="152"/>
      <c r="P118" s="152" t="e">
        <f>SUMPRODUCT((Ville=A200)*($HB$4:$HB$104))</f>
        <v>#N/A</v>
      </c>
      <c r="AC118" s="151"/>
      <c r="AD118" s="32"/>
      <c r="AR118" s="15"/>
      <c r="AS118" s="15"/>
      <c r="BG118" s="189"/>
      <c r="BH118" s="189"/>
      <c r="BI118" s="189"/>
      <c r="BJ118" s="189"/>
      <c r="BK118" s="189"/>
      <c r="BL118" s="189"/>
      <c r="BM118" s="189"/>
      <c r="BN118" s="189"/>
      <c r="BO118" s="189"/>
      <c r="BT118" s="188"/>
      <c r="CH118" s="241" t="s">
        <v>389</v>
      </c>
      <c r="CI118" s="241" t="s">
        <v>129</v>
      </c>
      <c r="CJ118" s="15" t="s">
        <v>397</v>
      </c>
      <c r="CK118" s="15" t="s">
        <v>129</v>
      </c>
      <c r="DR118" s="188"/>
      <c r="DS118" s="188"/>
      <c r="FI118" s="734"/>
      <c r="FJ118" s="734"/>
      <c r="FK118" s="15"/>
      <c r="FL118" s="734"/>
      <c r="FM118" s="734"/>
      <c r="FN118" s="734"/>
      <c r="FO118" s="734"/>
      <c r="FP118" s="734"/>
      <c r="FQ118" s="15"/>
      <c r="FR118" s="734"/>
      <c r="FS118" s="734"/>
      <c r="GD118" s="15"/>
      <c r="GE118" s="827"/>
      <c r="GM118" s="152"/>
      <c r="GN118" s="152"/>
      <c r="GO118" s="152"/>
      <c r="HB118" s="76" t="s">
        <v>522</v>
      </c>
      <c r="HF118" s="77">
        <f>SUBTOTAL(9,HF119:HF120)</f>
        <v>5000000</v>
      </c>
      <c r="HG118" s="33">
        <f>SUBTOTAL(9,HG119:HG120)</f>
        <v>298</v>
      </c>
      <c r="HI118" s="264">
        <f t="shared" si="447"/>
        <v>16778.523489932886</v>
      </c>
      <c r="HJ118" s="15"/>
    </row>
    <row r="119" spans="1:230">
      <c r="O119" s="152"/>
      <c r="P119" s="152" t="e">
        <f>SUMPRODUCT((Ville=A201)*($HB$4:$HB$104))</f>
        <v>#N/A</v>
      </c>
      <c r="Q119" s="152"/>
      <c r="AC119" s="151"/>
      <c r="AD119" s="32"/>
      <c r="AR119" s="15"/>
      <c r="AS119" s="15"/>
      <c r="BG119" s="189"/>
      <c r="BH119" s="189"/>
      <c r="BI119" s="189"/>
      <c r="BJ119" s="189"/>
      <c r="BK119" s="189"/>
      <c r="BL119" s="189"/>
      <c r="BM119" s="189"/>
      <c r="BN119" s="189"/>
      <c r="BO119" s="189"/>
      <c r="BT119" s="188"/>
      <c r="CH119" s="241" t="s">
        <v>390</v>
      </c>
      <c r="CI119" s="241" t="s">
        <v>129</v>
      </c>
      <c r="CJ119" s="15" t="s">
        <v>398</v>
      </c>
      <c r="CK119" s="15" t="s">
        <v>129</v>
      </c>
      <c r="CR119" s="241"/>
      <c r="CS119" s="241"/>
      <c r="FI119" s="734"/>
      <c r="FJ119" s="734"/>
      <c r="FK119" s="15"/>
      <c r="FL119" s="734"/>
      <c r="FM119" s="734"/>
      <c r="FN119" s="734"/>
      <c r="FO119" s="734"/>
      <c r="FP119" s="734"/>
      <c r="FQ119" s="15"/>
      <c r="FR119" s="734"/>
      <c r="FS119" s="734"/>
      <c r="GN119" s="153"/>
      <c r="GO119" s="153"/>
      <c r="GP119" s="153"/>
      <c r="HB119" s="15" t="s">
        <v>367</v>
      </c>
      <c r="HF119" s="153">
        <v>5000000</v>
      </c>
      <c r="HG119" s="15">
        <v>298</v>
      </c>
      <c r="HI119" s="265">
        <f t="shared" si="447"/>
        <v>16778.523489932886</v>
      </c>
      <c r="HJ119" s="15">
        <v>298</v>
      </c>
    </row>
    <row r="120" spans="1:230">
      <c r="O120" s="152"/>
      <c r="P120" s="152"/>
      <c r="Q120" s="152"/>
      <c r="AC120" s="151"/>
      <c r="AD120" s="32"/>
      <c r="AR120" s="15"/>
      <c r="AS120" s="15"/>
      <c r="BG120" s="189"/>
      <c r="BH120" s="189"/>
      <c r="BI120" s="189"/>
      <c r="BJ120" s="189"/>
      <c r="BK120" s="189"/>
      <c r="BL120" s="189"/>
      <c r="BM120" s="189"/>
      <c r="BN120" s="189"/>
      <c r="BO120" s="189"/>
      <c r="BT120" s="188"/>
      <c r="CH120" s="241" t="s">
        <v>391</v>
      </c>
      <c r="CI120" s="241" t="s">
        <v>129</v>
      </c>
      <c r="CJ120" s="15" t="s">
        <v>399</v>
      </c>
      <c r="FI120" s="734"/>
      <c r="FJ120" s="734"/>
      <c r="FK120" s="15"/>
      <c r="FL120" s="734"/>
      <c r="FM120" s="734"/>
      <c r="FN120" s="734"/>
      <c r="FO120" s="734"/>
      <c r="FP120" s="734"/>
      <c r="FQ120" s="15"/>
      <c r="FR120" s="734"/>
      <c r="FS120" s="734"/>
      <c r="HB120" s="15" t="s">
        <v>368</v>
      </c>
      <c r="HF120" s="15"/>
      <c r="HG120" s="15"/>
      <c r="HI120" s="15"/>
      <c r="HJ120" s="15"/>
    </row>
    <row r="121" spans="1:230">
      <c r="O121" s="152"/>
      <c r="P121" s="152"/>
      <c r="Q121" s="152"/>
      <c r="AC121" s="151"/>
      <c r="AD121" s="32"/>
      <c r="AR121" s="15"/>
      <c r="AS121" s="15"/>
      <c r="BG121" s="189"/>
      <c r="BH121" s="189"/>
      <c r="BI121" s="189"/>
      <c r="BJ121" s="189"/>
      <c r="BK121" s="189"/>
      <c r="BL121" s="189"/>
      <c r="BM121" s="189"/>
      <c r="BN121" s="189"/>
      <c r="BO121" s="189"/>
      <c r="BT121" s="188"/>
      <c r="CH121" s="241" t="s">
        <v>392</v>
      </c>
      <c r="CJ121" s="306" t="s">
        <v>400</v>
      </c>
      <c r="FI121" s="734"/>
      <c r="FJ121" s="734"/>
      <c r="FK121" s="15"/>
      <c r="FL121" s="734"/>
      <c r="FM121" s="734"/>
      <c r="FN121" s="734"/>
      <c r="FO121" s="734"/>
      <c r="FP121" s="734"/>
      <c r="FQ121" s="15"/>
      <c r="FR121" s="734"/>
      <c r="FS121" s="734"/>
      <c r="HB121" s="325" t="s">
        <v>573</v>
      </c>
      <c r="HC121" s="15"/>
      <c r="HD121" s="15"/>
      <c r="HE121" s="15"/>
      <c r="HF121" s="325"/>
      <c r="HG121" s="15"/>
      <c r="HI121" s="15"/>
      <c r="HJ121" s="15"/>
    </row>
    <row r="122" spans="1:230" ht="15.75" thickBot="1">
      <c r="O122" s="152"/>
      <c r="P122" s="152" t="e">
        <f>SUMPRODUCT((Ville=A202)*($HB$4:$HB$104))</f>
        <v>#N/A</v>
      </c>
      <c r="Q122" s="152"/>
      <c r="AC122" s="151"/>
      <c r="AD122" s="32"/>
      <c r="AR122" s="15"/>
      <c r="AS122" s="15"/>
      <c r="BG122" s="189"/>
      <c r="BH122" s="189"/>
      <c r="BI122" s="189"/>
      <c r="BJ122" s="189"/>
      <c r="BK122" s="189"/>
      <c r="BL122" s="189"/>
      <c r="BM122" s="189"/>
      <c r="BN122" s="189"/>
      <c r="BO122" s="189"/>
      <c r="BT122" s="188"/>
      <c r="BV122" s="235"/>
      <c r="BW122" s="235"/>
      <c r="CH122" s="241" t="s">
        <v>393</v>
      </c>
      <c r="CJ122" s="15" t="s">
        <v>50</v>
      </c>
      <c r="CK122" s="15" t="s">
        <v>129</v>
      </c>
      <c r="FI122" s="734"/>
      <c r="FJ122" s="734"/>
      <c r="FK122" s="15"/>
      <c r="FL122" s="734"/>
      <c r="FM122" s="734"/>
      <c r="FN122" s="734"/>
      <c r="FO122" s="734"/>
      <c r="FP122" s="734"/>
      <c r="FQ122" s="15"/>
      <c r="FR122" s="734"/>
      <c r="FS122" s="734"/>
      <c r="HB122" s="15" t="s">
        <v>367</v>
      </c>
      <c r="HC122" s="15"/>
      <c r="HD122" s="15"/>
      <c r="HE122" s="15"/>
      <c r="HF122" s="317"/>
      <c r="HG122" s="15"/>
      <c r="HI122" s="15"/>
      <c r="HJ122" s="15" t="s">
        <v>596</v>
      </c>
      <c r="HO122" s="15" t="s">
        <v>597</v>
      </c>
    </row>
    <row r="123" spans="1:230" ht="15.75" thickBot="1">
      <c r="B123" s="280"/>
      <c r="C123" s="463" t="s">
        <v>185</v>
      </c>
      <c r="D123" s="463" t="s">
        <v>292</v>
      </c>
      <c r="E123" s="463" t="s">
        <v>766</v>
      </c>
      <c r="F123" s="464" t="s">
        <v>461</v>
      </c>
      <c r="G123" s="464" t="s">
        <v>184</v>
      </c>
      <c r="H123" s="464" t="s">
        <v>725</v>
      </c>
      <c r="I123" s="464" t="s">
        <v>183</v>
      </c>
      <c r="J123" s="464" t="s">
        <v>519</v>
      </c>
      <c r="O123" s="152"/>
      <c r="P123" s="152" t="e">
        <f>SUMPRODUCT((Ville=A203)*($HB$4:$HB$104))</f>
        <v>#N/A</v>
      </c>
      <c r="Q123" s="152"/>
      <c r="AC123" s="151"/>
      <c r="AD123" s="32"/>
      <c r="AR123" s="15"/>
      <c r="AS123" s="15"/>
      <c r="BG123" s="189"/>
      <c r="BH123" s="189"/>
      <c r="BI123" s="189"/>
      <c r="BJ123" s="189"/>
      <c r="BK123" s="189"/>
      <c r="BL123" s="189"/>
      <c r="BM123" s="189"/>
      <c r="BN123" s="189"/>
      <c r="BO123" s="189"/>
      <c r="BT123" s="188"/>
      <c r="CH123" s="241" t="s">
        <v>394</v>
      </c>
      <c r="CI123" s="241" t="s">
        <v>129</v>
      </c>
      <c r="CJ123" s="15" t="s">
        <v>52</v>
      </c>
      <c r="FI123" s="734"/>
      <c r="FJ123" s="734"/>
      <c r="FK123" s="15"/>
      <c r="FL123" s="734"/>
      <c r="FM123" s="734"/>
      <c r="FN123" s="734"/>
      <c r="FO123" s="734"/>
      <c r="FP123" s="734"/>
      <c r="FQ123" s="15"/>
      <c r="FR123" s="734"/>
      <c r="FS123" s="734"/>
      <c r="GS123" s="138"/>
      <c r="GT123" s="138"/>
      <c r="GU123" s="138"/>
      <c r="GV123" s="138"/>
      <c r="GW123" s="46"/>
      <c r="GX123" s="46"/>
      <c r="GY123" s="46"/>
      <c r="GZ123" s="896" t="s">
        <v>574</v>
      </c>
      <c r="HA123" s="138"/>
      <c r="HB123" s="15">
        <f>SUMPRODUCT((Prog=2017)*(Type&lt;&gt;"Rehab")*(Type&lt;&gt;"PLS")*(Nlgts))</f>
        <v>241</v>
      </c>
      <c r="HC123" s="138"/>
      <c r="HD123" s="138"/>
      <c r="HE123" s="138"/>
      <c r="HF123" s="153">
        <f>SUMPRODUCT((Prog=2017)*(Type&lt;&gt;"Rehab")*(Type&lt;&gt;"PLS")*(LBU))</f>
        <v>4876000</v>
      </c>
      <c r="HG123" s="138"/>
      <c r="HI123" s="265">
        <f>HF123/HB123</f>
        <v>20232.365145228217</v>
      </c>
      <c r="HJ123" s="153">
        <f>HF123-HB59-HB60-HB67-HB62</f>
        <v>1020000</v>
      </c>
      <c r="HK123" s="138"/>
      <c r="HL123" s="138"/>
      <c r="HM123" s="138"/>
      <c r="HO123" s="15" t="s">
        <v>595</v>
      </c>
    </row>
    <row r="124" spans="1:230">
      <c r="B124" s="462" t="s">
        <v>424</v>
      </c>
      <c r="C124" s="469">
        <f>SUMPRODUCT((RO="ADE")*(Ass=$C$123)*(Avancement&lt;&gt;"Patrimoine"))-1</f>
        <v>0</v>
      </c>
      <c r="D124" s="469">
        <f t="shared" ref="D124:D135" si="448">SUMPRODUCT((RO=B124)*(Ass=$D$123)*(Avancement&lt;&gt;"patrimoine"))</f>
        <v>2</v>
      </c>
      <c r="E124" s="469">
        <f t="shared" ref="E124:E135" si="449">SUMPRODUCT((RO=B124)*(Ass=$E$123)*(Avancement&lt;&gt;"patrimoine"))</f>
        <v>1</v>
      </c>
      <c r="F124" s="469">
        <f t="shared" ref="F124:F135" si="450">SUMPRODUCT((RO=B124)*(Ass=$F$123)*(Avancement&lt;&gt;"patrimoine"))</f>
        <v>0</v>
      </c>
      <c r="G124" s="470">
        <f t="shared" ref="G124:G135" si="451">SUMPRODUCT((RO=B124)*(Ass=$G$123)*(Avancement&lt;&gt;"patrimoine"))</f>
        <v>0</v>
      </c>
      <c r="H124" s="469">
        <f t="shared" ref="H124:H135" si="452">SUMPRODUCT((RO=B124)*(Ass=$H$123)*(Avancement&lt;&gt;"patrimoine"))</f>
        <v>1</v>
      </c>
      <c r="I124" s="469">
        <f t="shared" ref="I124:I135" si="453">SUMPRODUCT((RO=B124)*(Ass=$I$123)*(Avancement&lt;&gt;"patrimoine"))</f>
        <v>0</v>
      </c>
      <c r="J124" s="469">
        <f t="shared" ref="J124:J135" si="454">SUMPRODUCT((RO=B124)*(Ass=$J$123)*(Avancement&lt;&gt;"patrimoine"))</f>
        <v>1</v>
      </c>
      <c r="O124" s="152"/>
      <c r="P124" s="152" t="e">
        <f>SUMPRODUCT((Ville=A204)*($HB$4:$HB$104))</f>
        <v>#N/A</v>
      </c>
      <c r="Q124" s="152"/>
      <c r="AC124" s="151"/>
      <c r="AD124" s="32"/>
      <c r="AR124" s="15"/>
      <c r="AS124" s="15"/>
      <c r="BG124" s="189"/>
      <c r="BH124" s="189"/>
      <c r="BI124" s="189"/>
      <c r="BJ124" s="189"/>
      <c r="BK124" s="189"/>
      <c r="BL124" s="189"/>
      <c r="BM124" s="189"/>
      <c r="BN124" s="189"/>
      <c r="BO124" s="189"/>
      <c r="BT124" s="188"/>
      <c r="CH124" s="241" t="s">
        <v>395</v>
      </c>
      <c r="CJ124" s="15" t="s">
        <v>471</v>
      </c>
      <c r="CK124" s="15" t="s">
        <v>129</v>
      </c>
      <c r="FI124" s="734"/>
      <c r="FJ124" s="734"/>
      <c r="FK124" s="15"/>
      <c r="FL124" s="734"/>
      <c r="FM124" s="734"/>
      <c r="FN124" s="734"/>
      <c r="FO124" s="734"/>
      <c r="FP124" s="734"/>
      <c r="FQ124" s="15"/>
      <c r="FR124" s="734"/>
      <c r="FS124" s="734"/>
      <c r="GS124" s="157"/>
      <c r="GT124" s="158"/>
      <c r="GU124" s="158"/>
      <c r="GV124" s="158"/>
      <c r="GZ124" s="769" t="s">
        <v>487</v>
      </c>
      <c r="HA124" s="138"/>
      <c r="HB124" s="15">
        <f>SUMPRODUCT((Prog=2017)*(Type="Rehab")*(Nlgts))</f>
        <v>192</v>
      </c>
      <c r="HC124" s="138"/>
      <c r="HD124" s="138"/>
      <c r="HE124" s="138"/>
      <c r="HF124" s="153">
        <f>SUMPRODUCT((Prog=2017)*(Type="Rehab")*(LBU))</f>
        <v>0</v>
      </c>
      <c r="HG124" s="138"/>
      <c r="HI124" s="265">
        <f>HF124/HB124</f>
        <v>0</v>
      </c>
      <c r="HJ124" s="15"/>
      <c r="HK124" s="138"/>
      <c r="HL124" s="138"/>
      <c r="HM124" s="138"/>
    </row>
    <row r="125" spans="1:230">
      <c r="B125" s="467" t="s">
        <v>147</v>
      </c>
      <c r="C125" s="470">
        <f t="shared" ref="C125:C135" si="455">SUMPRODUCT((RO=B125)*(Ass=$C$123)*(Avancement&lt;&gt;"patrimoine"))</f>
        <v>0</v>
      </c>
      <c r="D125" s="470">
        <f t="shared" si="448"/>
        <v>0</v>
      </c>
      <c r="E125" s="470">
        <f t="shared" si="449"/>
        <v>0</v>
      </c>
      <c r="F125" s="470">
        <f t="shared" si="450"/>
        <v>0</v>
      </c>
      <c r="G125" s="470">
        <f t="shared" si="451"/>
        <v>0</v>
      </c>
      <c r="H125" s="470">
        <f t="shared" si="452"/>
        <v>0</v>
      </c>
      <c r="I125" s="470">
        <f t="shared" si="453"/>
        <v>0</v>
      </c>
      <c r="J125" s="470">
        <f t="shared" si="454"/>
        <v>0</v>
      </c>
      <c r="O125" s="152"/>
      <c r="P125" s="152" t="e">
        <f>SUMPRODUCT((Ville=A205)*($HB$4:$HB$104))</f>
        <v>#N/A</v>
      </c>
      <c r="Q125" s="152"/>
      <c r="AC125" s="151"/>
      <c r="AD125" s="32"/>
      <c r="AR125" s="15"/>
      <c r="AS125" s="15"/>
      <c r="BG125" s="189"/>
      <c r="BH125" s="189"/>
      <c r="BI125" s="189"/>
      <c r="BJ125" s="189"/>
      <c r="BK125" s="189"/>
      <c r="BL125" s="189"/>
      <c r="BM125" s="189"/>
      <c r="BN125" s="189"/>
      <c r="BO125" s="189"/>
      <c r="BT125" s="188"/>
      <c r="CH125" s="506" t="s">
        <v>662</v>
      </c>
      <c r="CI125" s="505"/>
      <c r="CJ125" s="508" t="s">
        <v>663</v>
      </c>
      <c r="CK125" s="508"/>
      <c r="FI125" s="734"/>
      <c r="FJ125" s="734"/>
      <c r="FK125" s="15"/>
      <c r="FL125" s="734"/>
      <c r="FM125" s="734"/>
      <c r="FN125" s="734"/>
      <c r="FO125" s="734"/>
      <c r="FP125" s="734"/>
      <c r="FQ125" s="15"/>
      <c r="FR125" s="734"/>
      <c r="FS125" s="734"/>
      <c r="GS125" s="157"/>
      <c r="GT125" s="158"/>
      <c r="GU125" s="158"/>
      <c r="GV125" s="158"/>
      <c r="GZ125" s="769"/>
      <c r="HA125" s="138"/>
      <c r="HC125" s="138"/>
      <c r="HD125" s="138"/>
      <c r="HE125" s="138"/>
      <c r="HF125" s="153"/>
      <c r="HG125" s="138"/>
      <c r="HI125" s="265"/>
      <c r="HJ125" s="15"/>
      <c r="HK125" s="138"/>
      <c r="HL125" s="138"/>
      <c r="HM125" s="138"/>
    </row>
    <row r="126" spans="1:230" ht="30">
      <c r="B126" s="467" t="s">
        <v>334</v>
      </c>
      <c r="C126" s="470">
        <f t="shared" si="455"/>
        <v>2</v>
      </c>
      <c r="D126" s="470">
        <f t="shared" si="448"/>
        <v>0</v>
      </c>
      <c r="E126" s="470">
        <f t="shared" si="449"/>
        <v>0</v>
      </c>
      <c r="F126" s="470">
        <f t="shared" si="450"/>
        <v>0</v>
      </c>
      <c r="G126" s="470">
        <f t="shared" si="451"/>
        <v>0</v>
      </c>
      <c r="H126" s="470">
        <f t="shared" si="452"/>
        <v>0</v>
      </c>
      <c r="I126" s="470">
        <f t="shared" si="453"/>
        <v>2</v>
      </c>
      <c r="J126" s="470">
        <f t="shared" si="454"/>
        <v>2</v>
      </c>
      <c r="O126" s="152"/>
      <c r="P126" s="152" t="e">
        <f>SUMPRODUCT((Ville=A206)*($HB$4:$HB$104))</f>
        <v>#N/A</v>
      </c>
      <c r="Q126" s="152"/>
      <c r="AC126" s="151"/>
      <c r="AD126" s="32"/>
      <c r="AR126" s="15"/>
      <c r="AS126" s="15"/>
      <c r="BG126" s="189"/>
      <c r="BH126" s="189"/>
      <c r="BI126" s="189"/>
      <c r="BJ126" s="189"/>
      <c r="BK126" s="189"/>
      <c r="BL126" s="189"/>
      <c r="BM126" s="189"/>
      <c r="BN126" s="189"/>
      <c r="BO126" s="189"/>
      <c r="BT126" s="188"/>
      <c r="CH126" s="507" t="s">
        <v>472</v>
      </c>
      <c r="CI126" s="241" t="s">
        <v>129</v>
      </c>
      <c r="FI126" s="734"/>
      <c r="FJ126" s="734"/>
      <c r="FK126" s="15"/>
      <c r="FL126" s="734"/>
      <c r="FM126" s="734"/>
      <c r="FN126" s="734"/>
      <c r="FO126" s="734"/>
      <c r="FP126" s="734"/>
      <c r="FQ126" s="15"/>
      <c r="FR126" s="734"/>
      <c r="FS126" s="734"/>
      <c r="GS126" s="159"/>
      <c r="GT126" s="158"/>
      <c r="GU126" s="158"/>
      <c r="GV126" s="158"/>
      <c r="GW126" s="138"/>
      <c r="GX126" s="138"/>
      <c r="GY126" s="138"/>
      <c r="GZ126" s="769" t="s">
        <v>480</v>
      </c>
      <c r="HA126" s="138"/>
      <c r="HB126" s="15">
        <f>SUMPRODUCT((Prog=2017)*(Type="PLS")*(Nlgts))</f>
        <v>300</v>
      </c>
      <c r="HC126" s="138"/>
      <c r="HD126" s="138"/>
      <c r="HE126" s="138"/>
      <c r="HF126" s="153"/>
      <c r="HG126" s="138"/>
      <c r="HI126" s="265">
        <f>HF126/HB126</f>
        <v>0</v>
      </c>
      <c r="HJ126" s="15"/>
      <c r="HK126" s="138"/>
      <c r="HL126" s="138"/>
      <c r="HM126" s="138"/>
    </row>
    <row r="127" spans="1:230">
      <c r="B127" s="467" t="s">
        <v>37</v>
      </c>
      <c r="C127" s="470">
        <f t="shared" si="455"/>
        <v>0</v>
      </c>
      <c r="D127" s="470">
        <f t="shared" si="448"/>
        <v>0</v>
      </c>
      <c r="E127" s="470">
        <f t="shared" si="449"/>
        <v>0</v>
      </c>
      <c r="F127" s="470">
        <f t="shared" si="450"/>
        <v>0</v>
      </c>
      <c r="G127" s="470">
        <f t="shared" si="451"/>
        <v>0</v>
      </c>
      <c r="H127" s="470">
        <f t="shared" si="452"/>
        <v>0</v>
      </c>
      <c r="I127" s="470">
        <f t="shared" si="453"/>
        <v>0</v>
      </c>
      <c r="J127" s="470">
        <f t="shared" si="454"/>
        <v>0</v>
      </c>
      <c r="O127" s="152"/>
      <c r="P127" s="152"/>
      <c r="Q127" s="152"/>
      <c r="AC127" s="151"/>
      <c r="AD127" s="32"/>
      <c r="AR127" s="15"/>
      <c r="AS127" s="15"/>
      <c r="BG127" s="189"/>
      <c r="BH127" s="189"/>
      <c r="BI127" s="189"/>
      <c r="BJ127" s="189"/>
      <c r="BK127" s="189"/>
      <c r="BL127" s="189"/>
      <c r="BM127" s="189"/>
      <c r="BN127" s="189"/>
      <c r="BO127" s="189"/>
      <c r="BT127" s="188"/>
      <c r="FI127" s="734"/>
      <c r="FJ127" s="734"/>
      <c r="FK127" s="15"/>
      <c r="FL127" s="734"/>
      <c r="FM127" s="734"/>
      <c r="FN127" s="734"/>
      <c r="FO127" s="734"/>
      <c r="FP127" s="734"/>
      <c r="FQ127" s="15"/>
      <c r="FR127" s="734"/>
      <c r="FS127" s="734"/>
      <c r="GS127" s="159"/>
      <c r="GT127" s="158"/>
      <c r="GU127" s="158"/>
      <c r="GV127" s="158"/>
      <c r="GW127" s="138"/>
      <c r="GX127" s="138"/>
      <c r="GY127" s="138"/>
      <c r="GZ127" s="898" t="s">
        <v>116</v>
      </c>
      <c r="HA127" s="138"/>
      <c r="HB127" s="264">
        <f>SUBTOTAL(9,HB123:HB126)</f>
        <v>733</v>
      </c>
      <c r="HC127" s="138"/>
      <c r="HD127" s="138"/>
      <c r="HE127" s="138"/>
      <c r="HF127" s="317">
        <f>SUBTOTAL(9,HF123:HF126)</f>
        <v>4876000</v>
      </c>
      <c r="HG127" s="138"/>
      <c r="HI127" s="264">
        <f>HF127/HB127</f>
        <v>6652.1145975443387</v>
      </c>
      <c r="HJ127" s="15"/>
      <c r="HK127" s="138"/>
      <c r="HL127" s="138"/>
      <c r="HM127" s="138"/>
    </row>
    <row r="128" spans="1:230">
      <c r="B128" s="467" t="s">
        <v>30</v>
      </c>
      <c r="C128" s="470">
        <f t="shared" si="455"/>
        <v>0</v>
      </c>
      <c r="D128" s="470">
        <f t="shared" si="448"/>
        <v>1</v>
      </c>
      <c r="E128" s="470">
        <f t="shared" si="449"/>
        <v>1</v>
      </c>
      <c r="F128" s="470">
        <f t="shared" si="450"/>
        <v>0</v>
      </c>
      <c r="G128" s="470">
        <f t="shared" si="451"/>
        <v>0</v>
      </c>
      <c r="H128" s="470">
        <f t="shared" si="452"/>
        <v>0</v>
      </c>
      <c r="I128" s="470">
        <f t="shared" si="453"/>
        <v>1</v>
      </c>
      <c r="J128" s="470">
        <f t="shared" si="454"/>
        <v>3</v>
      </c>
      <c r="O128" s="152"/>
      <c r="P128" s="152" t="e">
        <f>SUMPRODUCT((Ville=A207)*($HB$4:$HB$104))</f>
        <v>#N/A</v>
      </c>
      <c r="Q128" s="152"/>
      <c r="AC128" s="151"/>
      <c r="AD128" s="32"/>
      <c r="AX128" s="35"/>
      <c r="CD128" s="35"/>
      <c r="CE128" s="35"/>
      <c r="CF128" s="35"/>
      <c r="CG128" s="35"/>
      <c r="CH128" s="242"/>
      <c r="CI128" s="242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420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FI128" s="734"/>
      <c r="FJ128" s="734"/>
      <c r="FK128" s="15"/>
      <c r="FL128" s="734"/>
      <c r="FM128" s="734"/>
      <c r="FN128" s="734"/>
      <c r="FO128" s="734"/>
      <c r="FP128" s="734"/>
      <c r="FQ128" s="15"/>
      <c r="FR128" s="734"/>
      <c r="FS128" s="734"/>
      <c r="HC128" s="15"/>
      <c r="HD128" s="15"/>
      <c r="HE128" s="15"/>
      <c r="HF128" s="15"/>
      <c r="HG128" s="159"/>
      <c r="HH128" s="158"/>
      <c r="HI128" s="158"/>
      <c r="HJ128" s="158"/>
      <c r="HK128" s="138"/>
      <c r="HL128" s="138"/>
      <c r="HM128" s="138"/>
      <c r="HN128" s="138"/>
      <c r="HO128" s="138"/>
      <c r="HP128" s="138"/>
      <c r="HQ128" s="138"/>
      <c r="HR128" s="138"/>
      <c r="HS128" s="138"/>
      <c r="HT128" s="138"/>
      <c r="HU128" s="138"/>
      <c r="HV128" s="138"/>
    </row>
    <row r="129" spans="2:230">
      <c r="B129" s="467" t="s">
        <v>564</v>
      </c>
      <c r="C129" s="470">
        <f t="shared" si="455"/>
        <v>1</v>
      </c>
      <c r="D129" s="470">
        <f t="shared" si="448"/>
        <v>2</v>
      </c>
      <c r="E129" s="470">
        <f t="shared" si="449"/>
        <v>0</v>
      </c>
      <c r="F129" s="470">
        <f t="shared" si="450"/>
        <v>0</v>
      </c>
      <c r="G129" s="470">
        <f t="shared" si="451"/>
        <v>0</v>
      </c>
      <c r="H129" s="470">
        <f t="shared" si="452"/>
        <v>1</v>
      </c>
      <c r="I129" s="470">
        <f t="shared" si="453"/>
        <v>0</v>
      </c>
      <c r="J129" s="470">
        <f t="shared" si="454"/>
        <v>1</v>
      </c>
      <c r="O129" s="34"/>
      <c r="P129" s="34" t="e">
        <f>SUM(P116:P128)</f>
        <v>#N/A</v>
      </c>
      <c r="Q129" s="34"/>
      <c r="AC129" s="151"/>
      <c r="AD129" s="32"/>
      <c r="FI129" s="734"/>
      <c r="FJ129" s="734"/>
      <c r="FK129" s="15"/>
      <c r="FL129" s="734"/>
      <c r="FM129" s="734"/>
      <c r="FN129" s="734"/>
      <c r="FO129" s="734"/>
      <c r="FP129" s="734"/>
      <c r="FQ129" s="15"/>
      <c r="FR129" s="734"/>
      <c r="FS129" s="734"/>
      <c r="HC129" s="15"/>
      <c r="HD129" s="15"/>
      <c r="HE129" s="15"/>
      <c r="HF129" s="15"/>
      <c r="HG129" s="159"/>
      <c r="HH129" s="158"/>
      <c r="HI129" s="158"/>
      <c r="HJ129" s="158"/>
      <c r="HK129" s="138"/>
      <c r="HL129" s="138"/>
      <c r="HM129" s="138"/>
      <c r="HN129" s="138"/>
      <c r="HO129" s="138"/>
      <c r="HP129" s="138"/>
      <c r="HQ129" s="138"/>
      <c r="HR129" s="138"/>
      <c r="HS129" s="138"/>
      <c r="HT129" s="138"/>
      <c r="HU129" s="138"/>
      <c r="HV129" s="138"/>
    </row>
    <row r="130" spans="2:230">
      <c r="B130" s="467" t="s">
        <v>423</v>
      </c>
      <c r="C130" s="470">
        <f t="shared" si="455"/>
        <v>2</v>
      </c>
      <c r="D130" s="470">
        <f t="shared" si="448"/>
        <v>0</v>
      </c>
      <c r="E130" s="470">
        <f t="shared" si="449"/>
        <v>0</v>
      </c>
      <c r="F130" s="470">
        <f t="shared" si="450"/>
        <v>0</v>
      </c>
      <c r="G130" s="470">
        <f t="shared" si="451"/>
        <v>0</v>
      </c>
      <c r="H130" s="470">
        <f t="shared" si="452"/>
        <v>4</v>
      </c>
      <c r="I130" s="470">
        <f t="shared" si="453"/>
        <v>0</v>
      </c>
      <c r="J130" s="470">
        <f t="shared" si="454"/>
        <v>1</v>
      </c>
      <c r="FI130" s="734"/>
      <c r="FJ130" s="734"/>
      <c r="FK130" s="15"/>
      <c r="FL130" s="734"/>
      <c r="FM130" s="734"/>
      <c r="FN130" s="734"/>
      <c r="FO130" s="734"/>
      <c r="FP130" s="734"/>
      <c r="FQ130" s="15"/>
      <c r="FR130" s="734"/>
      <c r="FS130" s="734"/>
      <c r="HC130" s="15"/>
      <c r="HD130" s="15"/>
      <c r="HE130" s="15"/>
      <c r="HF130" s="15"/>
      <c r="HG130" s="159"/>
      <c r="HH130" s="158"/>
      <c r="HI130" s="158"/>
      <c r="HJ130" s="158"/>
      <c r="HK130" s="138"/>
      <c r="HL130" s="138"/>
      <c r="HM130" s="138"/>
      <c r="HN130" s="138"/>
      <c r="HO130" s="138"/>
      <c r="HP130" s="138"/>
      <c r="HQ130" s="138"/>
      <c r="HR130" s="138"/>
      <c r="HS130" s="138"/>
      <c r="HT130" s="138"/>
      <c r="HU130" s="138"/>
      <c r="HV130" s="138"/>
    </row>
    <row r="131" spans="2:230">
      <c r="B131" s="467" t="s">
        <v>419</v>
      </c>
      <c r="C131" s="470">
        <f t="shared" si="455"/>
        <v>3</v>
      </c>
      <c r="D131" s="470">
        <f t="shared" si="448"/>
        <v>1</v>
      </c>
      <c r="E131" s="470">
        <f t="shared" si="449"/>
        <v>0</v>
      </c>
      <c r="F131" s="470">
        <f t="shared" si="450"/>
        <v>0</v>
      </c>
      <c r="G131" s="470">
        <f t="shared" si="451"/>
        <v>0</v>
      </c>
      <c r="H131" s="470">
        <f t="shared" si="452"/>
        <v>1</v>
      </c>
      <c r="I131" s="470">
        <f t="shared" si="453"/>
        <v>0</v>
      </c>
      <c r="J131" s="470">
        <f t="shared" si="454"/>
        <v>1</v>
      </c>
      <c r="FI131" s="734"/>
      <c r="FJ131" s="734"/>
      <c r="FK131" s="15"/>
      <c r="FL131" s="734"/>
      <c r="FM131" s="734"/>
      <c r="FN131" s="734"/>
      <c r="FO131" s="734"/>
      <c r="FP131" s="734"/>
      <c r="FQ131" s="15"/>
      <c r="FR131" s="734"/>
      <c r="FS131" s="734"/>
      <c r="HC131" s="15"/>
      <c r="HD131" s="15"/>
      <c r="HE131" s="15"/>
      <c r="HF131" s="15"/>
      <c r="HG131" s="159"/>
      <c r="HH131" s="158"/>
      <c r="HI131" s="158"/>
      <c r="HJ131" s="158"/>
      <c r="HK131" s="138"/>
      <c r="HL131" s="138"/>
      <c r="HM131" s="138"/>
      <c r="HN131" s="138"/>
      <c r="HO131" s="138"/>
      <c r="HP131" s="138"/>
      <c r="HQ131" s="138"/>
      <c r="HR131" s="138"/>
      <c r="HS131" s="138"/>
      <c r="HT131" s="138"/>
      <c r="HU131" s="138"/>
      <c r="HV131" s="138"/>
    </row>
    <row r="132" spans="2:230">
      <c r="B132" s="467" t="s">
        <v>94</v>
      </c>
      <c r="C132" s="470">
        <f t="shared" si="455"/>
        <v>0</v>
      </c>
      <c r="D132" s="470">
        <f t="shared" si="448"/>
        <v>0</v>
      </c>
      <c r="E132" s="470">
        <f t="shared" si="449"/>
        <v>0</v>
      </c>
      <c r="F132" s="470">
        <f t="shared" si="450"/>
        <v>0</v>
      </c>
      <c r="G132" s="470">
        <f t="shared" si="451"/>
        <v>0</v>
      </c>
      <c r="H132" s="470">
        <f t="shared" si="452"/>
        <v>0</v>
      </c>
      <c r="I132" s="470">
        <f t="shared" si="453"/>
        <v>0</v>
      </c>
      <c r="J132" s="470">
        <f t="shared" si="454"/>
        <v>0</v>
      </c>
      <c r="AQ132" s="151"/>
      <c r="AR132" s="32"/>
      <c r="AS132" s="15"/>
      <c r="BS132" s="189"/>
      <c r="BT132" s="188"/>
      <c r="FI132" s="734"/>
      <c r="FJ132" s="734"/>
      <c r="FK132" s="15"/>
      <c r="FL132" s="734"/>
      <c r="FM132" s="734"/>
      <c r="FN132" s="734"/>
      <c r="FO132" s="734"/>
      <c r="FP132" s="734"/>
      <c r="FQ132" s="15"/>
      <c r="FR132" s="734"/>
      <c r="FS132" s="734"/>
      <c r="HC132" s="15"/>
      <c r="HD132" s="15"/>
      <c r="HE132" s="159"/>
      <c r="HF132" s="159"/>
      <c r="HG132" s="158"/>
      <c r="HH132" s="158"/>
      <c r="HI132" s="158"/>
      <c r="HJ132" s="138"/>
      <c r="HK132" s="138"/>
      <c r="HL132" s="138"/>
      <c r="HM132" s="138"/>
      <c r="HN132" s="138"/>
      <c r="HO132" s="138"/>
      <c r="HP132" s="138"/>
      <c r="HQ132" s="138"/>
      <c r="HR132" s="138"/>
      <c r="HS132" s="138"/>
      <c r="HT132" s="138"/>
      <c r="HU132" s="138"/>
      <c r="HV132" s="138"/>
    </row>
    <row r="133" spans="2:230">
      <c r="B133" s="467" t="s">
        <v>10</v>
      </c>
      <c r="C133" s="470">
        <f t="shared" si="455"/>
        <v>0</v>
      </c>
      <c r="D133" s="470">
        <f t="shared" si="448"/>
        <v>0</v>
      </c>
      <c r="E133" s="470">
        <f t="shared" si="449"/>
        <v>0</v>
      </c>
      <c r="F133" s="470">
        <f t="shared" si="450"/>
        <v>0</v>
      </c>
      <c r="G133" s="470">
        <f t="shared" si="451"/>
        <v>0</v>
      </c>
      <c r="H133" s="470">
        <f t="shared" si="452"/>
        <v>0</v>
      </c>
      <c r="I133" s="470">
        <f t="shared" si="453"/>
        <v>0</v>
      </c>
      <c r="J133" s="470">
        <f t="shared" si="454"/>
        <v>0</v>
      </c>
      <c r="AR133" s="15"/>
      <c r="AS133" s="15"/>
      <c r="BD133" s="188">
        <f>196-32</f>
        <v>164</v>
      </c>
      <c r="BE133" s="189"/>
      <c r="BF133" s="189"/>
      <c r="BG133" s="189"/>
      <c r="BT133" s="188"/>
      <c r="FI133" s="734"/>
      <c r="FJ133" s="734"/>
      <c r="FK133" s="15"/>
      <c r="FL133" s="734"/>
      <c r="FM133" s="734"/>
      <c r="FN133" s="734"/>
      <c r="FO133" s="734"/>
      <c r="FP133" s="734"/>
      <c r="FQ133" s="15"/>
      <c r="FR133" s="734"/>
      <c r="FS133" s="734"/>
      <c r="GP133" s="159"/>
      <c r="GQ133" s="158"/>
      <c r="GR133" s="158"/>
      <c r="GS133" s="158"/>
      <c r="GT133" s="158"/>
      <c r="GU133" s="138"/>
      <c r="GV133" s="138"/>
      <c r="GW133" s="138"/>
      <c r="GX133" s="138"/>
      <c r="GY133" s="138"/>
      <c r="GZ133" s="769"/>
      <c r="HA133" s="138"/>
      <c r="HB133" s="138"/>
      <c r="HC133" s="138"/>
      <c r="HD133" s="138"/>
      <c r="HE133" s="138"/>
      <c r="HF133" s="138"/>
      <c r="HG133" s="138"/>
      <c r="HH133" s="138"/>
      <c r="HI133" s="138"/>
      <c r="HJ133" s="138"/>
      <c r="HK133" s="138"/>
    </row>
    <row r="134" spans="2:230" ht="15.75" thickBot="1">
      <c r="B134" s="467" t="s">
        <v>58</v>
      </c>
      <c r="C134" s="470">
        <f t="shared" si="455"/>
        <v>0</v>
      </c>
      <c r="D134" s="470">
        <f t="shared" si="448"/>
        <v>1</v>
      </c>
      <c r="E134" s="470">
        <f t="shared" si="449"/>
        <v>0</v>
      </c>
      <c r="F134" s="470">
        <f t="shared" si="450"/>
        <v>0</v>
      </c>
      <c r="G134" s="470">
        <f t="shared" si="451"/>
        <v>0</v>
      </c>
      <c r="H134" s="470">
        <f t="shared" si="452"/>
        <v>3</v>
      </c>
      <c r="I134" s="470">
        <f t="shared" si="453"/>
        <v>0</v>
      </c>
      <c r="J134" s="470">
        <f t="shared" si="454"/>
        <v>1</v>
      </c>
      <c r="O134" s="33">
        <v>2015</v>
      </c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AR134" s="15"/>
      <c r="AS134" s="15"/>
      <c r="BE134" s="189"/>
      <c r="BF134" s="189"/>
      <c r="BG134" s="189"/>
      <c r="BT134" s="188"/>
      <c r="FI134" s="734"/>
      <c r="FJ134" s="734"/>
      <c r="FK134" s="15"/>
      <c r="FL134" s="734"/>
      <c r="FM134" s="734"/>
      <c r="FN134" s="734"/>
      <c r="FO134" s="734"/>
      <c r="FP134" s="734"/>
      <c r="FQ134" s="15"/>
      <c r="FR134" s="734"/>
      <c r="FS134" s="734"/>
      <c r="GP134" s="159"/>
      <c r="GQ134" s="158"/>
      <c r="GR134" s="158"/>
      <c r="GS134" s="158"/>
      <c r="GT134" s="158"/>
      <c r="GU134" s="138"/>
      <c r="GV134" s="138"/>
      <c r="GW134" s="138"/>
      <c r="GX134" s="138"/>
      <c r="GY134" s="138"/>
      <c r="GZ134" s="769"/>
      <c r="HA134" s="138"/>
      <c r="HB134" s="138"/>
      <c r="HC134" s="138"/>
      <c r="HD134" s="138"/>
      <c r="HE134" s="138"/>
      <c r="HF134" s="138"/>
      <c r="HG134" s="138"/>
      <c r="HH134" s="138"/>
      <c r="HI134" s="138"/>
      <c r="HJ134" s="138"/>
      <c r="HK134" s="138"/>
    </row>
    <row r="135" spans="2:230" ht="15.75" thickBot="1">
      <c r="B135" s="465" t="s">
        <v>488</v>
      </c>
      <c r="C135" s="469">
        <f t="shared" si="455"/>
        <v>0</v>
      </c>
      <c r="D135" s="469">
        <f t="shared" si="448"/>
        <v>2</v>
      </c>
      <c r="E135" s="469">
        <f t="shared" si="449"/>
        <v>1</v>
      </c>
      <c r="F135" s="469">
        <f t="shared" si="450"/>
        <v>0</v>
      </c>
      <c r="G135" s="470">
        <f t="shared" si="451"/>
        <v>10</v>
      </c>
      <c r="H135" s="469">
        <f t="shared" si="452"/>
        <v>0</v>
      </c>
      <c r="I135" s="469">
        <f t="shared" si="453"/>
        <v>0</v>
      </c>
      <c r="J135" s="469">
        <f t="shared" si="454"/>
        <v>0</v>
      </c>
      <c r="K135" s="337"/>
      <c r="L135" s="208"/>
      <c r="M135" s="208"/>
      <c r="N135" s="208"/>
      <c r="O135" s="161">
        <f t="shared" ref="O135:O140" si="456">SUMPRODUCT((Notaire=A211)*(Prog=$O$134))</f>
        <v>1</v>
      </c>
      <c r="Z135" s="151"/>
      <c r="AA135" s="151"/>
      <c r="AB135" s="151"/>
      <c r="AR135" s="15"/>
      <c r="AS135" s="15"/>
      <c r="BE135" s="189"/>
      <c r="BF135" s="189"/>
      <c r="BG135" s="189"/>
      <c r="BT135" s="188"/>
      <c r="FI135" s="734"/>
      <c r="FJ135" s="734"/>
      <c r="FK135" s="15"/>
      <c r="FL135" s="734"/>
      <c r="FM135" s="734"/>
      <c r="FN135" s="734"/>
      <c r="FO135" s="734"/>
      <c r="FP135" s="734"/>
      <c r="FQ135" s="15"/>
      <c r="FR135" s="734"/>
      <c r="FS135" s="734"/>
      <c r="GP135" s="157"/>
      <c r="GQ135" s="158"/>
      <c r="GR135" s="158"/>
      <c r="GS135" s="158"/>
      <c r="GT135" s="158"/>
      <c r="GU135" s="138"/>
      <c r="GV135" s="138"/>
      <c r="GW135" s="138"/>
      <c r="GX135" s="138"/>
      <c r="GY135" s="138"/>
      <c r="GZ135" s="769"/>
      <c r="HA135" s="138"/>
      <c r="HB135" s="138"/>
      <c r="HC135" s="138"/>
      <c r="HD135" s="138"/>
      <c r="HE135" s="138"/>
      <c r="HF135" s="138"/>
      <c r="HG135" s="138"/>
      <c r="HH135" s="138"/>
      <c r="HI135" s="138"/>
      <c r="HJ135" s="138"/>
      <c r="HK135" s="138"/>
    </row>
    <row r="136" spans="2:230" ht="15.75" thickBot="1">
      <c r="B136" s="281">
        <f>SUBTOTAL(9,C136:J136)</f>
        <v>53</v>
      </c>
      <c r="C136" s="466">
        <f t="shared" ref="C136:J136" si="457">SUM(C124:C135)</f>
        <v>8</v>
      </c>
      <c r="D136" s="466">
        <f t="shared" si="457"/>
        <v>9</v>
      </c>
      <c r="E136" s="466">
        <f t="shared" si="457"/>
        <v>3</v>
      </c>
      <c r="F136" s="466">
        <f t="shared" si="457"/>
        <v>0</v>
      </c>
      <c r="G136" s="466">
        <f t="shared" si="457"/>
        <v>10</v>
      </c>
      <c r="H136" s="466">
        <f t="shared" si="457"/>
        <v>10</v>
      </c>
      <c r="I136" s="466">
        <f t="shared" si="457"/>
        <v>3</v>
      </c>
      <c r="J136" s="466">
        <f t="shared" si="457"/>
        <v>10</v>
      </c>
      <c r="K136" s="337"/>
      <c r="L136" s="208"/>
      <c r="M136" s="208"/>
      <c r="N136" s="208"/>
      <c r="O136" s="162">
        <f t="shared" si="456"/>
        <v>0</v>
      </c>
      <c r="Z136" s="151"/>
      <c r="AA136" s="151"/>
      <c r="AB136" s="151"/>
      <c r="AR136" s="15"/>
      <c r="AS136" s="15"/>
      <c r="BE136" s="189"/>
      <c r="BF136" s="189"/>
      <c r="BG136" s="189"/>
      <c r="BT136" s="188"/>
      <c r="FI136" s="734"/>
      <c r="FJ136" s="734"/>
      <c r="FK136" s="15"/>
      <c r="FL136" s="734"/>
      <c r="FM136" s="734"/>
      <c r="FN136" s="734"/>
      <c r="FO136" s="734"/>
      <c r="FP136" s="734"/>
      <c r="FQ136" s="15"/>
      <c r="FR136" s="734"/>
      <c r="FS136" s="734"/>
      <c r="GP136" s="159"/>
      <c r="GQ136" s="158"/>
      <c r="GR136" s="158"/>
      <c r="GS136" s="158"/>
      <c r="GT136" s="158"/>
      <c r="GU136" s="138"/>
      <c r="GV136" s="138"/>
      <c r="GW136" s="138"/>
      <c r="GX136" s="138"/>
      <c r="GY136" s="138"/>
      <c r="GZ136" s="769"/>
      <c r="HA136" s="138"/>
      <c r="HB136" s="138"/>
      <c r="HC136" s="138"/>
      <c r="HD136" s="138"/>
      <c r="HE136" s="138"/>
      <c r="HF136" s="138"/>
      <c r="HG136" s="138"/>
      <c r="HH136" s="138"/>
      <c r="HI136" s="138"/>
      <c r="HJ136" s="138"/>
      <c r="HK136" s="138"/>
    </row>
    <row r="137" spans="2:230">
      <c r="B137" s="281" t="s">
        <v>636</v>
      </c>
      <c r="C137" s="280">
        <v>2</v>
      </c>
      <c r="D137" s="280">
        <v>1</v>
      </c>
      <c r="E137" s="280"/>
      <c r="F137" s="280"/>
      <c r="G137" s="280"/>
      <c r="H137" s="280">
        <v>1</v>
      </c>
      <c r="I137" s="280"/>
      <c r="J137" s="280"/>
      <c r="K137" s="337"/>
      <c r="L137" s="208"/>
      <c r="M137" s="208"/>
      <c r="N137" s="208"/>
      <c r="O137" s="162">
        <f t="shared" si="456"/>
        <v>3</v>
      </c>
      <c r="Z137" s="151"/>
      <c r="AA137" s="151"/>
      <c r="AB137" s="151"/>
      <c r="AR137" s="15"/>
      <c r="AS137" s="15"/>
      <c r="BE137" s="189"/>
      <c r="BF137" s="189"/>
      <c r="BG137" s="189"/>
      <c r="BT137" s="188"/>
      <c r="FI137" s="734"/>
      <c r="FJ137" s="734"/>
      <c r="FK137" s="15"/>
      <c r="FL137" s="734"/>
      <c r="FM137" s="734"/>
      <c r="FN137" s="734"/>
      <c r="FO137" s="734"/>
      <c r="FP137" s="734"/>
      <c r="FQ137" s="15"/>
      <c r="FR137" s="734"/>
      <c r="FS137" s="734"/>
      <c r="GP137" s="157"/>
      <c r="GQ137" s="158"/>
      <c r="GR137" s="158"/>
      <c r="GS137" s="158"/>
      <c r="GT137" s="158"/>
      <c r="GU137" s="138"/>
      <c r="GV137" s="138"/>
      <c r="GW137" s="138"/>
      <c r="GX137" s="138"/>
      <c r="GY137" s="138"/>
      <c r="GZ137" s="769"/>
      <c r="HA137" s="138"/>
      <c r="HB137" s="138"/>
      <c r="HC137" s="138"/>
      <c r="HD137" s="138"/>
      <c r="HE137" s="138"/>
      <c r="HF137" s="138"/>
      <c r="HG137" s="138"/>
      <c r="HH137" s="138"/>
      <c r="HI137" s="138"/>
      <c r="HJ137" s="138"/>
      <c r="HK137" s="138"/>
    </row>
    <row r="138" spans="2:230">
      <c r="B138" s="280"/>
      <c r="C138" s="468">
        <f>C136+C137</f>
        <v>10</v>
      </c>
      <c r="D138" s="281">
        <f t="shared" ref="D138:J138" si="458">D136+D137</f>
        <v>10</v>
      </c>
      <c r="E138" s="281">
        <f t="shared" si="458"/>
        <v>3</v>
      </c>
      <c r="F138" s="281">
        <f t="shared" si="458"/>
        <v>0</v>
      </c>
      <c r="G138" s="281">
        <f t="shared" si="458"/>
        <v>10</v>
      </c>
      <c r="H138" s="281">
        <f t="shared" si="458"/>
        <v>11</v>
      </c>
      <c r="I138" s="281">
        <f t="shared" si="458"/>
        <v>3</v>
      </c>
      <c r="J138" s="281">
        <f t="shared" si="458"/>
        <v>10</v>
      </c>
      <c r="K138" s="337"/>
      <c r="L138" s="208"/>
      <c r="M138" s="208"/>
      <c r="N138" s="208"/>
      <c r="O138" s="162">
        <f t="shared" si="456"/>
        <v>0</v>
      </c>
      <c r="Z138" s="151"/>
      <c r="AA138" s="151"/>
      <c r="AB138" s="151"/>
      <c r="AR138" s="15"/>
      <c r="AS138" s="15"/>
      <c r="BE138" s="189"/>
      <c r="BF138" s="189"/>
      <c r="BG138" s="189"/>
      <c r="BT138" s="188"/>
      <c r="FI138" s="734"/>
      <c r="FJ138" s="734"/>
      <c r="FK138" s="15"/>
      <c r="FL138" s="734"/>
      <c r="FM138" s="734"/>
      <c r="FN138" s="734"/>
      <c r="FO138" s="734"/>
      <c r="FP138" s="734"/>
      <c r="FQ138" s="15"/>
      <c r="FR138" s="734"/>
      <c r="FS138" s="734"/>
      <c r="GP138" s="138"/>
      <c r="GQ138" s="138"/>
      <c r="GR138" s="138"/>
      <c r="GS138" s="138"/>
      <c r="GT138" s="138"/>
      <c r="GU138" s="138"/>
      <c r="GV138" s="138"/>
      <c r="GW138" s="138"/>
      <c r="GX138" s="138"/>
      <c r="GY138" s="138"/>
      <c r="GZ138" s="769"/>
      <c r="HA138" s="138"/>
      <c r="HB138" s="138"/>
      <c r="HC138" s="138"/>
      <c r="HD138" s="138"/>
      <c r="HE138" s="138"/>
      <c r="HF138" s="138"/>
      <c r="HG138" s="138"/>
      <c r="HH138" s="138"/>
      <c r="HI138" s="138"/>
      <c r="HJ138" s="138"/>
      <c r="HK138" s="138"/>
    </row>
    <row r="139" spans="2:230">
      <c r="K139" s="337"/>
      <c r="L139" s="208"/>
      <c r="M139" s="208"/>
      <c r="N139" s="208"/>
      <c r="O139" s="162">
        <f t="shared" si="456"/>
        <v>2</v>
      </c>
      <c r="Z139" s="151"/>
      <c r="AA139" s="151"/>
      <c r="AB139" s="151"/>
      <c r="FI139" s="734"/>
      <c r="FJ139" s="734"/>
      <c r="FK139" s="15"/>
      <c r="FL139" s="734"/>
      <c r="FM139" s="734"/>
      <c r="FN139" s="734"/>
      <c r="FO139" s="734"/>
      <c r="FP139" s="734"/>
      <c r="FQ139" s="15"/>
      <c r="FR139" s="734"/>
      <c r="FS139" s="734"/>
      <c r="HC139" s="15"/>
      <c r="HD139" s="15"/>
      <c r="HE139" s="15"/>
      <c r="HF139" s="15"/>
      <c r="HG139" s="15"/>
      <c r="HH139" s="15"/>
      <c r="HI139" s="15"/>
      <c r="HJ139" s="15"/>
    </row>
    <row r="140" spans="2:230" ht="15.75" thickBot="1">
      <c r="I140" s="15" t="s">
        <v>726</v>
      </c>
      <c r="K140" s="337"/>
      <c r="L140" s="208"/>
      <c r="M140" s="208"/>
      <c r="N140" s="208"/>
      <c r="O140" s="162">
        <f t="shared" si="456"/>
        <v>0</v>
      </c>
      <c r="Z140" s="151"/>
      <c r="AA140" s="151"/>
      <c r="AB140" s="151"/>
      <c r="FI140" s="734"/>
      <c r="FJ140" s="734"/>
      <c r="FK140" s="15"/>
      <c r="FL140" s="734"/>
      <c r="FM140" s="734"/>
      <c r="FN140" s="734"/>
      <c r="FO140" s="734"/>
      <c r="FP140" s="734"/>
      <c r="FQ140" s="15"/>
      <c r="FR140" s="734"/>
      <c r="FS140" s="734"/>
      <c r="HC140" s="15"/>
      <c r="HD140" s="15"/>
      <c r="HE140" s="15"/>
      <c r="HF140" s="15"/>
      <c r="HG140" s="15"/>
      <c r="HH140" s="15"/>
      <c r="HI140" s="15"/>
      <c r="HJ140" s="15"/>
    </row>
    <row r="141" spans="2:230">
      <c r="B141" s="280"/>
      <c r="C141" s="282" t="s">
        <v>282</v>
      </c>
      <c r="D141" s="282" t="s">
        <v>10</v>
      </c>
      <c r="E141" s="282" t="s">
        <v>430</v>
      </c>
      <c r="H141" s="487" t="s">
        <v>185</v>
      </c>
      <c r="I141" s="487">
        <v>1</v>
      </c>
      <c r="O141" s="33">
        <f>SUM(O135:O140)</f>
        <v>6</v>
      </c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>
        <f>SUM(D211:D216)</f>
        <v>10</v>
      </c>
      <c r="AD141" s="33">
        <f>SUM(E211:E216)</f>
        <v>6</v>
      </c>
      <c r="FI141" s="734"/>
      <c r="FJ141" s="734"/>
      <c r="FK141" s="15"/>
      <c r="FL141" s="734"/>
      <c r="FM141" s="734"/>
      <c r="FN141" s="734"/>
      <c r="FO141" s="734"/>
      <c r="FP141" s="734"/>
      <c r="FQ141" s="15"/>
      <c r="FR141" s="734"/>
      <c r="FS141" s="734"/>
      <c r="HC141" s="15"/>
      <c r="HD141" s="15"/>
      <c r="HE141" s="15"/>
      <c r="HF141" s="15"/>
      <c r="HG141" s="15"/>
      <c r="HH141" s="15"/>
      <c r="HI141" s="15"/>
      <c r="HJ141" s="15"/>
    </row>
    <row r="142" spans="2:230">
      <c r="B142" s="283" t="s">
        <v>408</v>
      </c>
      <c r="C142" s="282" t="s">
        <v>429</v>
      </c>
      <c r="D142" s="282" t="s">
        <v>147</v>
      </c>
      <c r="E142" s="282" t="s">
        <v>185</v>
      </c>
      <c r="H142" s="488" t="s">
        <v>292</v>
      </c>
      <c r="I142" s="488">
        <v>1</v>
      </c>
      <c r="AM142" s="151"/>
      <c r="AN142" s="32"/>
      <c r="AR142" s="15"/>
      <c r="AS142" s="15"/>
      <c r="BR142" s="189"/>
      <c r="BT142" s="188"/>
      <c r="FI142" s="734"/>
      <c r="FJ142" s="734"/>
      <c r="FK142" s="15"/>
      <c r="FL142" s="734"/>
      <c r="FM142" s="734"/>
      <c r="FN142" s="734"/>
      <c r="FO142" s="734"/>
      <c r="FP142" s="734"/>
      <c r="FQ142" s="15"/>
      <c r="FR142" s="734"/>
      <c r="FS142" s="734"/>
      <c r="HC142" s="15"/>
      <c r="HD142" s="15"/>
      <c r="HE142" s="15"/>
      <c r="HF142" s="15"/>
      <c r="HG142" s="15"/>
      <c r="HH142" s="15"/>
      <c r="HI142" s="15"/>
      <c r="HJ142" s="15"/>
    </row>
    <row r="143" spans="2:230">
      <c r="B143" s="283" t="s">
        <v>404</v>
      </c>
      <c r="C143" s="282" t="s">
        <v>431</v>
      </c>
      <c r="D143" s="282" t="s">
        <v>147</v>
      </c>
      <c r="E143" s="282" t="s">
        <v>725</v>
      </c>
      <c r="H143" s="488" t="s">
        <v>766</v>
      </c>
      <c r="I143" s="488">
        <v>0</v>
      </c>
      <c r="AM143" s="151"/>
      <c r="AN143" s="32"/>
      <c r="AR143" s="15"/>
      <c r="AS143" s="15"/>
      <c r="BR143" s="189"/>
      <c r="BT143" s="188"/>
      <c r="FI143" s="734"/>
      <c r="FJ143" s="734"/>
      <c r="FK143" s="15"/>
      <c r="FL143" s="734"/>
      <c r="FM143" s="734"/>
      <c r="FN143" s="734"/>
      <c r="FO143" s="734"/>
      <c r="FP143" s="734"/>
      <c r="FQ143" s="15"/>
      <c r="FR143" s="734"/>
      <c r="FS143" s="734"/>
      <c r="HC143" s="15"/>
      <c r="HD143" s="15"/>
      <c r="HE143" s="15"/>
      <c r="HF143" s="15"/>
      <c r="HG143" s="15"/>
      <c r="HH143" s="15"/>
      <c r="HI143" s="15"/>
      <c r="HJ143" s="15"/>
    </row>
    <row r="144" spans="2:230">
      <c r="B144" s="283" t="s">
        <v>405</v>
      </c>
      <c r="C144" s="282" t="s">
        <v>260</v>
      </c>
      <c r="D144" s="282" t="s">
        <v>147</v>
      </c>
      <c r="E144" s="282" t="s">
        <v>725</v>
      </c>
      <c r="H144" s="488" t="s">
        <v>461</v>
      </c>
      <c r="I144" s="488">
        <v>3</v>
      </c>
      <c r="AM144" s="151"/>
      <c r="AN144" s="32"/>
      <c r="AR144" s="15"/>
      <c r="AS144" s="15"/>
      <c r="BR144" s="189"/>
      <c r="BT144" s="188"/>
      <c r="FI144" s="734"/>
      <c r="FJ144" s="734"/>
      <c r="FK144" s="15"/>
      <c r="FL144" s="734"/>
      <c r="FM144" s="734"/>
      <c r="FN144" s="734"/>
      <c r="FO144" s="734"/>
      <c r="FP144" s="734"/>
      <c r="FQ144" s="15"/>
      <c r="FR144" s="734"/>
      <c r="FS144" s="734"/>
      <c r="HC144" s="15"/>
      <c r="HD144" s="15"/>
      <c r="HE144" s="15"/>
      <c r="HF144" s="15"/>
      <c r="HG144" s="15"/>
      <c r="HH144" s="15"/>
      <c r="HI144" s="15"/>
      <c r="HJ144" s="15"/>
    </row>
    <row r="145" spans="2:218">
      <c r="B145" s="283" t="s">
        <v>406</v>
      </c>
      <c r="C145" s="282" t="s">
        <v>260</v>
      </c>
      <c r="D145" s="282" t="s">
        <v>147</v>
      </c>
      <c r="E145" s="282" t="s">
        <v>251</v>
      </c>
      <c r="H145" s="488" t="s">
        <v>184</v>
      </c>
      <c r="I145" s="488">
        <v>0</v>
      </c>
      <c r="AM145" s="151"/>
      <c r="AN145" s="32"/>
      <c r="AR145" s="15"/>
      <c r="AS145" s="15"/>
      <c r="BR145" s="189"/>
      <c r="BT145" s="188"/>
      <c r="FI145" s="734"/>
      <c r="FJ145" s="734"/>
      <c r="FK145" s="15"/>
      <c r="FL145" s="734"/>
      <c r="FM145" s="734"/>
      <c r="FN145" s="734"/>
      <c r="FO145" s="734"/>
      <c r="FP145" s="734"/>
      <c r="FQ145" s="15"/>
      <c r="FR145" s="734"/>
      <c r="FS145" s="734"/>
      <c r="HC145" s="15"/>
      <c r="HD145" s="15"/>
      <c r="HE145" s="15"/>
      <c r="HF145" s="15"/>
      <c r="HG145" s="15"/>
      <c r="HH145" s="15"/>
      <c r="HI145" s="15"/>
      <c r="HJ145" s="15"/>
    </row>
    <row r="146" spans="2:218">
      <c r="B146" s="283" t="s">
        <v>668</v>
      </c>
      <c r="C146" s="282" t="s">
        <v>248</v>
      </c>
      <c r="D146" s="282" t="s">
        <v>147</v>
      </c>
      <c r="E146" s="282" t="s">
        <v>292</v>
      </c>
      <c r="H146" s="488" t="s">
        <v>725</v>
      </c>
      <c r="I146" s="488">
        <v>1</v>
      </c>
      <c r="AM146" s="151"/>
      <c r="AN146" s="32"/>
      <c r="AR146" s="15"/>
      <c r="AS146" s="15"/>
      <c r="BR146" s="189"/>
      <c r="BT146" s="188"/>
      <c r="FI146" s="734"/>
      <c r="FJ146" s="734"/>
      <c r="FK146" s="15"/>
      <c r="FL146" s="734"/>
      <c r="FM146" s="734"/>
      <c r="FN146" s="734"/>
      <c r="FO146" s="734"/>
      <c r="FP146" s="734"/>
      <c r="FQ146" s="15"/>
      <c r="FR146" s="734"/>
      <c r="FS146" s="734"/>
      <c r="HC146" s="15"/>
      <c r="HD146" s="15"/>
      <c r="HE146" s="15"/>
      <c r="HF146" s="15"/>
      <c r="HG146" s="15"/>
      <c r="HH146" s="15"/>
      <c r="HI146" s="15"/>
      <c r="HJ146" s="15"/>
    </row>
    <row r="147" spans="2:218">
      <c r="B147" s="284" t="s">
        <v>407</v>
      </c>
      <c r="C147" s="282" t="s">
        <v>260</v>
      </c>
      <c r="D147" s="282" t="s">
        <v>37</v>
      </c>
      <c r="E147" s="282" t="s">
        <v>251</v>
      </c>
      <c r="H147" s="488" t="s">
        <v>183</v>
      </c>
      <c r="I147" s="488">
        <v>0</v>
      </c>
      <c r="AM147" s="151"/>
      <c r="AN147" s="32"/>
      <c r="AR147" s="15"/>
      <c r="AS147" s="15"/>
      <c r="BR147" s="189"/>
      <c r="BT147" s="188"/>
      <c r="FI147" s="734"/>
      <c r="FJ147" s="734"/>
      <c r="FK147" s="15"/>
      <c r="FL147" s="734"/>
      <c r="FM147" s="734"/>
      <c r="FN147" s="734"/>
      <c r="FO147" s="734"/>
      <c r="FP147" s="734"/>
      <c r="FQ147" s="15"/>
      <c r="FR147" s="734"/>
      <c r="FS147" s="734"/>
      <c r="HC147" s="15"/>
      <c r="HD147" s="15"/>
      <c r="HE147" s="15"/>
      <c r="HF147" s="15"/>
      <c r="HG147" s="15"/>
      <c r="HH147" s="15"/>
      <c r="HI147" s="15"/>
      <c r="HJ147" s="15"/>
    </row>
    <row r="148" spans="2:218" ht="15.75" thickBot="1">
      <c r="B148" s="284" t="s">
        <v>432</v>
      </c>
      <c r="C148" s="282" t="s">
        <v>433</v>
      </c>
      <c r="D148" s="282" t="s">
        <v>147</v>
      </c>
      <c r="E148" s="282" t="s">
        <v>185</v>
      </c>
      <c r="H148" s="489" t="s">
        <v>519</v>
      </c>
      <c r="I148" s="489">
        <v>1</v>
      </c>
      <c r="AM148" s="151"/>
      <c r="AN148" s="32"/>
      <c r="AR148" s="15"/>
      <c r="AS148" s="15"/>
      <c r="BR148" s="189"/>
      <c r="BT148" s="188"/>
      <c r="FI148" s="734"/>
      <c r="FJ148" s="734"/>
      <c r="FK148" s="15"/>
      <c r="FL148" s="734"/>
      <c r="FM148" s="734"/>
      <c r="FN148" s="734"/>
      <c r="FO148" s="734"/>
      <c r="FP148" s="734"/>
      <c r="FQ148" s="15"/>
      <c r="FR148" s="734"/>
      <c r="FS148" s="734"/>
      <c r="HC148" s="15"/>
      <c r="HD148" s="15"/>
      <c r="HE148" s="15"/>
      <c r="HF148" s="15"/>
      <c r="HG148" s="15"/>
      <c r="HH148" s="15"/>
      <c r="HI148" s="15"/>
      <c r="HJ148" s="15"/>
    </row>
    <row r="149" spans="2:218" ht="29.25" customHeight="1">
      <c r="B149" s="284" t="s">
        <v>732</v>
      </c>
      <c r="C149" s="282" t="s">
        <v>433</v>
      </c>
      <c r="D149" s="282" t="s">
        <v>423</v>
      </c>
      <c r="E149" s="282" t="s">
        <v>725</v>
      </c>
      <c r="H149" s="378"/>
      <c r="I149" s="378"/>
      <c r="AM149" s="151"/>
      <c r="AN149" s="32"/>
      <c r="AR149" s="15"/>
      <c r="AS149" s="15"/>
      <c r="BR149" s="189"/>
      <c r="BT149" s="188"/>
      <c r="FI149" s="734"/>
      <c r="FJ149" s="734"/>
      <c r="FK149" s="15"/>
      <c r="FL149" s="734"/>
      <c r="FM149" s="734"/>
      <c r="FN149" s="734"/>
      <c r="FO149" s="734"/>
      <c r="FP149" s="734"/>
      <c r="FQ149" s="15"/>
      <c r="FR149" s="734"/>
      <c r="FS149" s="734"/>
      <c r="HC149" s="15"/>
      <c r="HD149" s="15"/>
      <c r="HE149" s="15"/>
      <c r="HF149" s="15"/>
      <c r="HG149" s="15"/>
      <c r="HH149" s="15"/>
      <c r="HI149" s="15"/>
      <c r="HJ149" s="15"/>
    </row>
    <row r="150" spans="2:218" ht="30.75" customHeight="1">
      <c r="AM150" s="151"/>
      <c r="AN150" s="32"/>
      <c r="AR150" s="15"/>
      <c r="AS150" s="15"/>
      <c r="BR150" s="189"/>
      <c r="BT150" s="188"/>
      <c r="FI150" s="734"/>
      <c r="FJ150" s="734"/>
      <c r="FK150" s="15"/>
      <c r="FL150" s="734"/>
      <c r="FM150" s="734"/>
      <c r="FN150" s="734"/>
      <c r="FO150" s="734"/>
      <c r="FP150" s="734"/>
      <c r="FQ150" s="15"/>
      <c r="FR150" s="734"/>
      <c r="FS150" s="734"/>
      <c r="HC150" s="15"/>
      <c r="HD150" s="15"/>
      <c r="HE150" s="15"/>
      <c r="HF150" s="15"/>
      <c r="HG150" s="15"/>
      <c r="HH150" s="15"/>
      <c r="HI150" s="15"/>
      <c r="HJ150" s="15"/>
    </row>
    <row r="151" spans="2:218" ht="19.5" thickBot="1">
      <c r="C151" s="504" t="s">
        <v>641</v>
      </c>
      <c r="D151" s="504"/>
      <c r="E151" s="504"/>
      <c r="F151" s="504"/>
      <c r="G151" s="504"/>
      <c r="H151" s="504"/>
      <c r="I151" s="504"/>
      <c r="J151" s="504"/>
      <c r="K151" s="504"/>
      <c r="L151" s="504"/>
      <c r="M151" s="504"/>
      <c r="N151" s="504"/>
      <c r="AM151" s="151"/>
      <c r="AN151" s="32"/>
      <c r="AR151" s="15"/>
      <c r="AS151" s="15"/>
      <c r="BR151" s="189"/>
      <c r="BT151" s="188"/>
      <c r="FI151" s="734"/>
      <c r="FJ151" s="734"/>
      <c r="FK151" s="15"/>
      <c r="FL151" s="734"/>
      <c r="FM151" s="734"/>
      <c r="FN151" s="734"/>
      <c r="FO151" s="734"/>
      <c r="FP151" s="734"/>
      <c r="FQ151" s="15"/>
      <c r="FR151" s="734"/>
      <c r="FS151" s="734"/>
      <c r="HC151" s="15"/>
      <c r="HD151" s="15"/>
      <c r="HE151" s="15"/>
      <c r="HF151" s="15"/>
      <c r="HG151" s="15"/>
      <c r="HH151" s="15"/>
      <c r="HI151" s="15"/>
      <c r="HJ151" s="15"/>
    </row>
    <row r="152" spans="2:218" ht="16.5" thickBot="1">
      <c r="C152" s="937" t="s">
        <v>637</v>
      </c>
      <c r="D152" s="938"/>
      <c r="E152" s="947" t="s">
        <v>638</v>
      </c>
      <c r="F152" s="948"/>
      <c r="G152" s="945" t="s">
        <v>270</v>
      </c>
      <c r="H152" s="946"/>
      <c r="I152" s="943" t="s">
        <v>269</v>
      </c>
      <c r="J152" s="944"/>
      <c r="K152" s="941" t="s">
        <v>176</v>
      </c>
      <c r="L152" s="942"/>
      <c r="M152" s="939" t="s">
        <v>639</v>
      </c>
      <c r="N152" s="940"/>
      <c r="AM152" s="151"/>
      <c r="AN152" s="32"/>
      <c r="AR152" s="15"/>
      <c r="AS152" s="15"/>
      <c r="BR152" s="189"/>
      <c r="BT152" s="188"/>
      <c r="FI152" s="734"/>
      <c r="FJ152" s="734"/>
      <c r="FK152" s="15"/>
      <c r="FL152" s="734"/>
      <c r="FM152" s="734"/>
      <c r="FN152" s="734"/>
      <c r="FO152" s="734"/>
      <c r="FP152" s="734"/>
      <c r="FQ152" s="15"/>
      <c r="FR152" s="734"/>
      <c r="FS152" s="734"/>
      <c r="HC152" s="15"/>
      <c r="HD152" s="15"/>
      <c r="HE152" s="15"/>
      <c r="HF152" s="15"/>
      <c r="HG152" s="15"/>
      <c r="HH152" s="15"/>
      <c r="HI152" s="15"/>
      <c r="HJ152" s="15"/>
    </row>
    <row r="153" spans="2:218">
      <c r="B153" s="487" t="s">
        <v>185</v>
      </c>
      <c r="C153" s="471">
        <f t="shared" ref="C153:C160" si="459">SUMPRODUCT((Ass=B153)*((Avancement="Faisa")+(Avancement="ESQ")+(Avancement="APS")+(Avancement="PC")+(Avancement="APD")))</f>
        <v>1</v>
      </c>
      <c r="D153" s="475">
        <f>C153/$C$161</f>
        <v>8.3333333333333329E-2</v>
      </c>
      <c r="E153" s="471">
        <f t="shared" ref="E153:E160" si="460">SUMPRODUCT((Ass=B153)*((Avancement="PRO")+(Avancement="DCE")+(Avancement="AO")))</f>
        <v>3</v>
      </c>
      <c r="F153" s="475">
        <f>E153/$E$161</f>
        <v>0.17647058823529413</v>
      </c>
      <c r="G153" s="471">
        <f t="shared" ref="G153:G160" si="461">SUMPRODUCT((Ass=B153)*((Avancement="OS")))</f>
        <v>1</v>
      </c>
      <c r="H153" s="475">
        <f>G153/$G$161</f>
        <v>1</v>
      </c>
      <c r="I153" s="471">
        <f>SUMPRODUCT((Ass=B153)*((Avancement="Tvx")+(Avancement="Réception")))-1</f>
        <v>2</v>
      </c>
      <c r="J153" s="475">
        <f>I153/$I$161</f>
        <v>0.14285714285714285</v>
      </c>
      <c r="K153" s="471">
        <f t="shared" ref="K153:K160" si="462">SUMPRODUCT((Ass=B153)*((Avancement="GPA")))</f>
        <v>0</v>
      </c>
      <c r="L153" s="475">
        <f>K153/$K$161</f>
        <v>0</v>
      </c>
      <c r="M153" s="471">
        <f t="shared" ref="M153:M160" si="463">SUMPRODUCT((Ass=B153)*((Avancement="clôture défisc")))</f>
        <v>1</v>
      </c>
      <c r="N153" s="475">
        <f>M153/$M$161</f>
        <v>0.5</v>
      </c>
      <c r="O153" s="487">
        <f>C153+E153+G153+I153+K153+M153</f>
        <v>8</v>
      </c>
      <c r="P153" s="151">
        <f>O153-C136</f>
        <v>0</v>
      </c>
      <c r="AM153" s="151"/>
      <c r="AN153" s="32"/>
      <c r="AR153" s="15"/>
      <c r="AS153" s="15"/>
      <c r="BR153" s="189"/>
      <c r="BT153" s="188"/>
      <c r="FI153" s="734"/>
      <c r="FJ153" s="734"/>
      <c r="FK153" s="15"/>
      <c r="FL153" s="734"/>
      <c r="FM153" s="734"/>
      <c r="FN153" s="734"/>
      <c r="FO153" s="734"/>
      <c r="FP153" s="734"/>
      <c r="FQ153" s="15"/>
      <c r="FR153" s="734"/>
      <c r="FS153" s="734"/>
      <c r="HC153" s="15"/>
      <c r="HD153" s="15"/>
      <c r="HE153" s="15"/>
      <c r="HF153" s="15"/>
      <c r="HG153" s="15"/>
      <c r="HH153" s="15"/>
      <c r="HI153" s="15"/>
      <c r="HJ153" s="15"/>
    </row>
    <row r="154" spans="2:218">
      <c r="B154" s="488" t="s">
        <v>292</v>
      </c>
      <c r="C154" s="473">
        <f t="shared" si="459"/>
        <v>4</v>
      </c>
      <c r="D154" s="476">
        <f t="shared" ref="D154:D160" si="464">C154/$C$161</f>
        <v>0.33333333333333331</v>
      </c>
      <c r="E154" s="473">
        <f t="shared" si="460"/>
        <v>4</v>
      </c>
      <c r="F154" s="476">
        <f t="shared" ref="F154:F160" si="465">E154/$E$161</f>
        <v>0.23529411764705882</v>
      </c>
      <c r="G154" s="473">
        <f t="shared" si="461"/>
        <v>0</v>
      </c>
      <c r="H154" s="476">
        <f t="shared" ref="H154:H160" si="466">G154/$G$161</f>
        <v>0</v>
      </c>
      <c r="I154" s="473">
        <f t="shared" ref="I154:I160" si="467">SUMPRODUCT((Ass=B154)*((Avancement="Tvx")+(Avancement="Réception")))</f>
        <v>0</v>
      </c>
      <c r="J154" s="476">
        <f t="shared" ref="J154:J160" si="468">I154/$I$161</f>
        <v>0</v>
      </c>
      <c r="K154" s="473">
        <f t="shared" si="462"/>
        <v>1</v>
      </c>
      <c r="L154" s="476">
        <f t="shared" ref="L154:L160" si="469">K154/$K$161</f>
        <v>0.2</v>
      </c>
      <c r="M154" s="473">
        <f t="shared" si="463"/>
        <v>0</v>
      </c>
      <c r="N154" s="476">
        <f t="shared" ref="N154:N160" si="470">M154/$M$161</f>
        <v>0</v>
      </c>
      <c r="O154" s="488">
        <f>C154+E154+G154+I154+K154+M154</f>
        <v>9</v>
      </c>
      <c r="P154" s="151">
        <f>O154-D136</f>
        <v>0</v>
      </c>
      <c r="AM154" s="151"/>
      <c r="AN154" s="32"/>
      <c r="AR154" s="15"/>
      <c r="AS154" s="15"/>
      <c r="BR154" s="189"/>
      <c r="BT154" s="188"/>
      <c r="FI154" s="734"/>
      <c r="FJ154" s="734"/>
      <c r="FK154" s="15"/>
      <c r="FL154" s="734"/>
      <c r="FM154" s="734"/>
      <c r="FN154" s="734"/>
      <c r="FO154" s="734"/>
      <c r="FP154" s="734"/>
      <c r="FQ154" s="15"/>
      <c r="FR154" s="734"/>
      <c r="FS154" s="734"/>
      <c r="HC154" s="15"/>
      <c r="HD154" s="15"/>
      <c r="HE154" s="15"/>
      <c r="HF154" s="15"/>
      <c r="HG154" s="15"/>
      <c r="HH154" s="15"/>
      <c r="HI154" s="15"/>
      <c r="HJ154" s="15"/>
    </row>
    <row r="155" spans="2:218">
      <c r="B155" s="488" t="s">
        <v>766</v>
      </c>
      <c r="C155" s="473">
        <f t="shared" si="459"/>
        <v>0</v>
      </c>
      <c r="D155" s="476">
        <f t="shared" si="464"/>
        <v>0</v>
      </c>
      <c r="E155" s="473">
        <f t="shared" si="460"/>
        <v>1</v>
      </c>
      <c r="F155" s="476">
        <f t="shared" si="465"/>
        <v>5.8823529411764705E-2</v>
      </c>
      <c r="G155" s="473">
        <f t="shared" si="461"/>
        <v>0</v>
      </c>
      <c r="H155" s="476">
        <f t="shared" si="466"/>
        <v>0</v>
      </c>
      <c r="I155" s="473">
        <f t="shared" si="467"/>
        <v>2</v>
      </c>
      <c r="J155" s="476">
        <f t="shared" si="468"/>
        <v>0.14285714285714285</v>
      </c>
      <c r="K155" s="473">
        <f t="shared" si="462"/>
        <v>0</v>
      </c>
      <c r="L155" s="476">
        <f t="shared" si="469"/>
        <v>0</v>
      </c>
      <c r="M155" s="473">
        <f t="shared" si="463"/>
        <v>0</v>
      </c>
      <c r="N155" s="476">
        <f t="shared" si="470"/>
        <v>0</v>
      </c>
      <c r="O155" s="488">
        <f t="shared" ref="O155:O160" si="471">C155+E155+G155+I155+K155+M155</f>
        <v>3</v>
      </c>
      <c r="P155" s="151">
        <f>O155-E136</f>
        <v>0</v>
      </c>
      <c r="FI155" s="734"/>
      <c r="FJ155" s="734"/>
      <c r="FK155" s="15"/>
      <c r="FL155" s="734"/>
      <c r="FM155" s="734"/>
      <c r="FN155" s="734"/>
      <c r="FO155" s="734"/>
      <c r="FP155" s="734"/>
      <c r="FQ155" s="15"/>
      <c r="FR155" s="734"/>
      <c r="FS155" s="734"/>
      <c r="HC155" s="15"/>
      <c r="HD155" s="15"/>
      <c r="HE155" s="15"/>
      <c r="HF155" s="15"/>
      <c r="HG155" s="15"/>
      <c r="HH155" s="15"/>
      <c r="HI155" s="15"/>
      <c r="HJ155" s="15"/>
    </row>
    <row r="156" spans="2:218">
      <c r="B156" s="488" t="s">
        <v>461</v>
      </c>
      <c r="C156" s="473">
        <f t="shared" si="459"/>
        <v>0</v>
      </c>
      <c r="D156" s="476">
        <f t="shared" si="464"/>
        <v>0</v>
      </c>
      <c r="E156" s="473">
        <f t="shared" si="460"/>
        <v>0</v>
      </c>
      <c r="F156" s="476">
        <f t="shared" si="465"/>
        <v>0</v>
      </c>
      <c r="G156" s="473">
        <f t="shared" si="461"/>
        <v>0</v>
      </c>
      <c r="H156" s="476">
        <f t="shared" si="466"/>
        <v>0</v>
      </c>
      <c r="I156" s="473">
        <f t="shared" si="467"/>
        <v>0</v>
      </c>
      <c r="J156" s="476">
        <f t="shared" si="468"/>
        <v>0</v>
      </c>
      <c r="K156" s="473">
        <f t="shared" si="462"/>
        <v>0</v>
      </c>
      <c r="L156" s="476">
        <f t="shared" si="469"/>
        <v>0</v>
      </c>
      <c r="M156" s="473">
        <f t="shared" si="463"/>
        <v>0</v>
      </c>
      <c r="N156" s="476">
        <f t="shared" si="470"/>
        <v>0</v>
      </c>
      <c r="O156" s="488">
        <f t="shared" si="471"/>
        <v>0</v>
      </c>
      <c r="P156" s="151">
        <f>O156-F136</f>
        <v>0</v>
      </c>
      <c r="FI156" s="734"/>
      <c r="FJ156" s="734"/>
      <c r="FK156" s="15"/>
      <c r="FL156" s="734"/>
      <c r="FM156" s="734"/>
      <c r="FN156" s="734"/>
      <c r="FO156" s="734"/>
      <c r="FP156" s="734"/>
      <c r="FQ156" s="15"/>
      <c r="FR156" s="734"/>
      <c r="FS156" s="734"/>
      <c r="HC156" s="15"/>
      <c r="HD156" s="15"/>
      <c r="HE156" s="15"/>
      <c r="HF156" s="15"/>
      <c r="HG156" s="15"/>
      <c r="HH156" s="15"/>
      <c r="HI156" s="15"/>
      <c r="HJ156" s="15"/>
    </row>
    <row r="157" spans="2:218">
      <c r="B157" s="488" t="s">
        <v>184</v>
      </c>
      <c r="C157" s="473">
        <f t="shared" si="459"/>
        <v>5</v>
      </c>
      <c r="D157" s="476">
        <f t="shared" si="464"/>
        <v>0.41666666666666669</v>
      </c>
      <c r="E157" s="473">
        <f t="shared" si="460"/>
        <v>3</v>
      </c>
      <c r="F157" s="476">
        <f t="shared" si="465"/>
        <v>0.17647058823529413</v>
      </c>
      <c r="G157" s="473">
        <f t="shared" si="461"/>
        <v>0</v>
      </c>
      <c r="H157" s="476">
        <f t="shared" si="466"/>
        <v>0</v>
      </c>
      <c r="I157" s="473">
        <f t="shared" si="467"/>
        <v>0</v>
      </c>
      <c r="J157" s="476">
        <f t="shared" si="468"/>
        <v>0</v>
      </c>
      <c r="K157" s="473">
        <f t="shared" si="462"/>
        <v>0</v>
      </c>
      <c r="L157" s="476">
        <f t="shared" si="469"/>
        <v>0</v>
      </c>
      <c r="M157" s="473">
        <f t="shared" si="463"/>
        <v>0</v>
      </c>
      <c r="N157" s="476">
        <f t="shared" si="470"/>
        <v>0</v>
      </c>
      <c r="O157" s="488">
        <f t="shared" si="471"/>
        <v>8</v>
      </c>
      <c r="P157" s="151">
        <f>O157-G136</f>
        <v>-2</v>
      </c>
      <c r="FI157" s="734"/>
      <c r="FJ157" s="734"/>
      <c r="FK157" s="15"/>
      <c r="FL157" s="734"/>
      <c r="FM157" s="734"/>
      <c r="FN157" s="734"/>
      <c r="FO157" s="734"/>
      <c r="FP157" s="734"/>
      <c r="FQ157" s="15"/>
      <c r="FR157" s="734"/>
      <c r="FS157" s="734"/>
      <c r="HC157" s="15"/>
      <c r="HD157" s="15"/>
      <c r="HE157" s="15"/>
      <c r="HF157" s="15"/>
      <c r="HG157" s="15"/>
      <c r="HH157" s="15"/>
      <c r="HI157" s="15"/>
      <c r="HJ157" s="15"/>
    </row>
    <row r="158" spans="2:218">
      <c r="B158" s="488" t="s">
        <v>725</v>
      </c>
      <c r="C158" s="473">
        <f t="shared" si="459"/>
        <v>2</v>
      </c>
      <c r="D158" s="476">
        <f t="shared" si="464"/>
        <v>0.16666666666666666</v>
      </c>
      <c r="E158" s="473">
        <f t="shared" si="460"/>
        <v>2</v>
      </c>
      <c r="F158" s="476">
        <f t="shared" si="465"/>
        <v>0.11764705882352941</v>
      </c>
      <c r="G158" s="473">
        <f t="shared" si="461"/>
        <v>0</v>
      </c>
      <c r="H158" s="476">
        <f t="shared" si="466"/>
        <v>0</v>
      </c>
      <c r="I158" s="473">
        <f t="shared" si="467"/>
        <v>2</v>
      </c>
      <c r="J158" s="476">
        <f t="shared" si="468"/>
        <v>0.14285714285714285</v>
      </c>
      <c r="K158" s="473">
        <f t="shared" si="462"/>
        <v>3</v>
      </c>
      <c r="L158" s="476">
        <f t="shared" si="469"/>
        <v>0.6</v>
      </c>
      <c r="M158" s="473">
        <f t="shared" si="463"/>
        <v>1</v>
      </c>
      <c r="N158" s="476">
        <f t="shared" si="470"/>
        <v>0.5</v>
      </c>
      <c r="O158" s="488">
        <f t="shared" si="471"/>
        <v>10</v>
      </c>
      <c r="P158" s="151">
        <f>O158-H136</f>
        <v>0</v>
      </c>
      <c r="FI158" s="734"/>
      <c r="FJ158" s="734"/>
      <c r="FK158" s="15"/>
      <c r="FL158" s="734"/>
      <c r="FM158" s="734"/>
      <c r="FN158" s="734"/>
      <c r="FO158" s="734"/>
      <c r="FP158" s="734"/>
      <c r="FQ158" s="15"/>
      <c r="FR158" s="734"/>
      <c r="FS158" s="734"/>
      <c r="HC158" s="15"/>
      <c r="HD158" s="15"/>
      <c r="HE158" s="15"/>
      <c r="HF158" s="15"/>
      <c r="HG158" s="15"/>
      <c r="HH158" s="15"/>
      <c r="HI158" s="15"/>
      <c r="HJ158" s="15"/>
    </row>
    <row r="159" spans="2:218">
      <c r="B159" s="488" t="s">
        <v>183</v>
      </c>
      <c r="C159" s="473">
        <f t="shared" si="459"/>
        <v>0</v>
      </c>
      <c r="D159" s="476">
        <f t="shared" si="464"/>
        <v>0</v>
      </c>
      <c r="E159" s="473">
        <f t="shared" si="460"/>
        <v>1</v>
      </c>
      <c r="F159" s="476">
        <f t="shared" si="465"/>
        <v>5.8823529411764705E-2</v>
      </c>
      <c r="G159" s="473">
        <f t="shared" si="461"/>
        <v>0</v>
      </c>
      <c r="H159" s="476">
        <f t="shared" si="466"/>
        <v>0</v>
      </c>
      <c r="I159" s="473">
        <f t="shared" si="467"/>
        <v>1</v>
      </c>
      <c r="J159" s="476">
        <f t="shared" si="468"/>
        <v>7.1428571428571425E-2</v>
      </c>
      <c r="K159" s="473">
        <f t="shared" si="462"/>
        <v>1</v>
      </c>
      <c r="L159" s="476">
        <f t="shared" si="469"/>
        <v>0.2</v>
      </c>
      <c r="M159" s="473">
        <f t="shared" si="463"/>
        <v>0</v>
      </c>
      <c r="N159" s="476">
        <f t="shared" si="470"/>
        <v>0</v>
      </c>
      <c r="O159" s="488">
        <f t="shared" si="471"/>
        <v>3</v>
      </c>
      <c r="P159" s="151">
        <f>O159-I136</f>
        <v>0</v>
      </c>
      <c r="FI159" s="734"/>
      <c r="FJ159" s="734"/>
      <c r="FK159" s="15"/>
      <c r="FL159" s="734"/>
      <c r="FM159" s="734"/>
      <c r="FN159" s="734"/>
      <c r="FO159" s="734"/>
      <c r="FP159" s="734"/>
      <c r="FQ159" s="15"/>
      <c r="FR159" s="734"/>
      <c r="FS159" s="734"/>
      <c r="HC159" s="15"/>
      <c r="HD159" s="15"/>
      <c r="HE159" s="15"/>
      <c r="HF159" s="15"/>
      <c r="HG159" s="15"/>
      <c r="HH159" s="15"/>
      <c r="HI159" s="15"/>
      <c r="HJ159" s="15"/>
    </row>
    <row r="160" spans="2:218" ht="15.75" thickBot="1">
      <c r="B160" s="489" t="s">
        <v>519</v>
      </c>
      <c r="C160" s="472">
        <f t="shared" si="459"/>
        <v>0</v>
      </c>
      <c r="D160" s="477">
        <f t="shared" si="464"/>
        <v>0</v>
      </c>
      <c r="E160" s="472">
        <f t="shared" si="460"/>
        <v>3</v>
      </c>
      <c r="F160" s="477">
        <f t="shared" si="465"/>
        <v>0.17647058823529413</v>
      </c>
      <c r="G160" s="472">
        <f t="shared" si="461"/>
        <v>0</v>
      </c>
      <c r="H160" s="477">
        <f t="shared" si="466"/>
        <v>0</v>
      </c>
      <c r="I160" s="472">
        <f t="shared" si="467"/>
        <v>7</v>
      </c>
      <c r="J160" s="477">
        <f t="shared" si="468"/>
        <v>0.5</v>
      </c>
      <c r="K160" s="472">
        <f t="shared" si="462"/>
        <v>0</v>
      </c>
      <c r="L160" s="477">
        <f t="shared" si="469"/>
        <v>0</v>
      </c>
      <c r="M160" s="472">
        <f t="shared" si="463"/>
        <v>0</v>
      </c>
      <c r="N160" s="477">
        <f t="shared" si="470"/>
        <v>0</v>
      </c>
      <c r="O160" s="489">
        <f t="shared" si="471"/>
        <v>10</v>
      </c>
      <c r="P160" s="151">
        <f>O160-J136</f>
        <v>0</v>
      </c>
      <c r="FI160" s="734"/>
      <c r="FJ160" s="734"/>
      <c r="FK160" s="15"/>
      <c r="FL160" s="734"/>
      <c r="FM160" s="734"/>
      <c r="FN160" s="734"/>
      <c r="FO160" s="734"/>
      <c r="FP160" s="734"/>
      <c r="FQ160" s="15"/>
      <c r="FR160" s="734"/>
      <c r="FS160" s="734"/>
      <c r="HC160" s="15"/>
      <c r="HD160" s="15"/>
      <c r="HE160" s="15"/>
      <c r="HF160" s="15"/>
      <c r="HG160" s="15"/>
      <c r="HH160" s="15"/>
      <c r="HI160" s="15"/>
      <c r="HJ160" s="15"/>
    </row>
    <row r="161" spans="3:218" ht="15.75" thickBot="1">
      <c r="C161" s="478">
        <f t="shared" ref="C161:H161" si="472">SUM(C153:C160)</f>
        <v>12</v>
      </c>
      <c r="D161" s="479">
        <f t="shared" si="472"/>
        <v>0.99999999999999989</v>
      </c>
      <c r="E161" s="478">
        <f t="shared" si="472"/>
        <v>17</v>
      </c>
      <c r="F161" s="481">
        <f t="shared" si="472"/>
        <v>1</v>
      </c>
      <c r="G161" s="478">
        <f t="shared" si="472"/>
        <v>1</v>
      </c>
      <c r="H161" s="481">
        <f t="shared" si="472"/>
        <v>1</v>
      </c>
      <c r="I161" s="480">
        <f>SUBTOTAL(9,I153:I160)</f>
        <v>14</v>
      </c>
      <c r="J161" s="484">
        <f>SUBTOTAL(9,J153:J160)</f>
        <v>1</v>
      </c>
      <c r="K161" s="474">
        <f>SUM(K153:K160)</f>
        <v>5</v>
      </c>
      <c r="L161" s="485">
        <f>SUM(L153:L160)</f>
        <v>1</v>
      </c>
      <c r="M161" s="474">
        <f>SUM(M153:M160)</f>
        <v>2</v>
      </c>
      <c r="N161" s="486">
        <f>SUM(N153:N160)</f>
        <v>1</v>
      </c>
      <c r="O161" s="33">
        <f>SUBTOTAL(9,O153:O160)</f>
        <v>51</v>
      </c>
      <c r="FI161" s="734"/>
      <c r="FJ161" s="734"/>
      <c r="FK161" s="15"/>
      <c r="FL161" s="734"/>
      <c r="FM161" s="734"/>
      <c r="FN161" s="734"/>
      <c r="FO161" s="734"/>
      <c r="FP161" s="734"/>
      <c r="FQ161" s="15"/>
      <c r="FR161" s="734"/>
      <c r="FS161" s="734"/>
      <c r="HC161" s="15"/>
      <c r="HD161" s="15"/>
      <c r="HE161" s="15"/>
      <c r="HF161" s="15"/>
      <c r="HG161" s="15"/>
      <c r="HH161" s="15"/>
      <c r="HI161" s="15"/>
      <c r="HJ161" s="15"/>
    </row>
    <row r="162" spans="3:218">
      <c r="FI162" s="734"/>
      <c r="FJ162" s="734"/>
      <c r="FK162" s="15"/>
      <c r="FL162" s="734"/>
      <c r="FM162" s="734"/>
      <c r="FN162" s="734"/>
      <c r="FO162" s="734"/>
      <c r="FP162" s="734"/>
      <c r="FQ162" s="15"/>
      <c r="FR162" s="734"/>
      <c r="FS162" s="734"/>
      <c r="HC162" s="15"/>
      <c r="HD162" s="15"/>
      <c r="HE162" s="15"/>
      <c r="HF162" s="15"/>
      <c r="HG162" s="15"/>
      <c r="HH162" s="15"/>
      <c r="HI162" s="15"/>
      <c r="HJ162" s="15"/>
    </row>
    <row r="163" spans="3:218">
      <c r="FI163" s="734"/>
      <c r="FJ163" s="734"/>
      <c r="FK163" s="15"/>
      <c r="FL163" s="734"/>
      <c r="FM163" s="734"/>
      <c r="FN163" s="734"/>
      <c r="FO163" s="734"/>
      <c r="FP163" s="734"/>
      <c r="FQ163" s="15"/>
      <c r="FR163" s="734"/>
      <c r="FS163" s="734"/>
      <c r="HC163" s="15"/>
      <c r="HD163" s="15"/>
      <c r="HE163" s="15"/>
      <c r="HF163" s="15"/>
      <c r="HG163" s="15"/>
      <c r="HH163" s="15"/>
      <c r="HI163" s="15"/>
      <c r="HJ163" s="15"/>
    </row>
    <row r="164" spans="3:218">
      <c r="FI164" s="734"/>
      <c r="FJ164" s="734"/>
      <c r="FK164" s="15"/>
      <c r="FL164" s="734"/>
      <c r="FM164" s="734"/>
      <c r="FN164" s="734"/>
      <c r="FO164" s="734"/>
      <c r="FP164" s="734"/>
      <c r="FQ164" s="15"/>
      <c r="FR164" s="734"/>
      <c r="FS164" s="734"/>
      <c r="HC164" s="15"/>
      <c r="HD164" s="15"/>
      <c r="HE164" s="15"/>
      <c r="HF164" s="15"/>
      <c r="HG164" s="15"/>
      <c r="HH164" s="15"/>
      <c r="HI164" s="15"/>
      <c r="HJ164" s="15"/>
    </row>
    <row r="165" spans="3:218">
      <c r="FI165" s="734"/>
      <c r="FJ165" s="734"/>
      <c r="FK165" s="15"/>
      <c r="FL165" s="734"/>
      <c r="FM165" s="734"/>
      <c r="FN165" s="734"/>
      <c r="FO165" s="734"/>
      <c r="FP165" s="734"/>
      <c r="FQ165" s="15"/>
      <c r="FR165" s="734"/>
      <c r="FS165" s="734"/>
      <c r="HC165" s="15"/>
      <c r="HD165" s="15"/>
      <c r="HE165" s="15"/>
      <c r="HF165" s="15"/>
      <c r="HG165" s="15"/>
      <c r="HH165" s="15"/>
      <c r="HI165" s="15"/>
      <c r="HJ165" s="15"/>
    </row>
    <row r="166" spans="3:218">
      <c r="FI166" s="734"/>
      <c r="FJ166" s="734"/>
      <c r="FK166" s="15"/>
      <c r="FL166" s="734"/>
      <c r="FM166" s="734"/>
      <c r="FN166" s="734"/>
      <c r="FO166" s="734"/>
      <c r="FP166" s="734"/>
      <c r="FQ166" s="15"/>
      <c r="FR166" s="734"/>
      <c r="FS166" s="734"/>
      <c r="HC166" s="15"/>
      <c r="HD166" s="15"/>
      <c r="HE166" s="15"/>
      <c r="HF166" s="15"/>
      <c r="HG166" s="15"/>
      <c r="HH166" s="15"/>
      <c r="HI166" s="15"/>
      <c r="HJ166" s="15"/>
    </row>
    <row r="167" spans="3:218">
      <c r="FI167" s="734"/>
      <c r="FJ167" s="734"/>
      <c r="FK167" s="15"/>
      <c r="FL167" s="734"/>
      <c r="FM167" s="734"/>
      <c r="FN167" s="734"/>
      <c r="FO167" s="734"/>
      <c r="FP167" s="734"/>
      <c r="FQ167" s="15"/>
      <c r="FR167" s="734"/>
      <c r="FS167" s="734"/>
      <c r="HC167" s="15"/>
      <c r="HD167" s="15"/>
      <c r="HE167" s="15"/>
      <c r="HF167" s="15"/>
      <c r="HG167" s="15"/>
      <c r="HH167" s="15"/>
      <c r="HI167" s="15"/>
      <c r="HJ167" s="15"/>
    </row>
    <row r="168" spans="3:218">
      <c r="FI168" s="734"/>
      <c r="FJ168" s="734"/>
      <c r="FK168" s="15"/>
      <c r="FL168" s="734"/>
      <c r="FM168" s="734"/>
      <c r="FN168" s="734"/>
      <c r="FO168" s="734"/>
      <c r="FP168" s="734"/>
      <c r="FQ168" s="15"/>
      <c r="FR168" s="734"/>
      <c r="FS168" s="734"/>
      <c r="HC168" s="15"/>
      <c r="HD168" s="15"/>
      <c r="HE168" s="15"/>
      <c r="HF168" s="15"/>
      <c r="HG168" s="15"/>
      <c r="HH168" s="15"/>
      <c r="HI168" s="15"/>
      <c r="HJ168" s="15"/>
    </row>
    <row r="169" spans="3:218">
      <c r="FI169" s="734"/>
      <c r="FJ169" s="734"/>
      <c r="FK169" s="15"/>
      <c r="FL169" s="734"/>
      <c r="FM169" s="734"/>
      <c r="FN169" s="734"/>
      <c r="FO169" s="734"/>
      <c r="FP169" s="734"/>
      <c r="FQ169" s="15"/>
      <c r="FR169" s="734"/>
      <c r="FS169" s="734"/>
      <c r="HC169" s="15"/>
      <c r="HD169" s="15"/>
      <c r="HE169" s="15"/>
      <c r="HF169" s="15"/>
      <c r="HG169" s="15"/>
      <c r="HH169" s="15"/>
      <c r="HI169" s="15"/>
      <c r="HJ169" s="15"/>
    </row>
    <row r="170" spans="3:218">
      <c r="FI170" s="734"/>
      <c r="FJ170" s="734"/>
      <c r="FK170" s="15"/>
      <c r="FL170" s="734"/>
      <c r="FM170" s="734"/>
      <c r="FN170" s="734"/>
      <c r="FO170" s="734"/>
      <c r="FP170" s="734"/>
      <c r="FQ170" s="15"/>
      <c r="FR170" s="734"/>
      <c r="FS170" s="734"/>
      <c r="HC170" s="15"/>
      <c r="HD170" s="15"/>
      <c r="HE170" s="15"/>
      <c r="HF170" s="15"/>
      <c r="HG170" s="15"/>
      <c r="HH170" s="15"/>
      <c r="HI170" s="15"/>
      <c r="HJ170" s="15"/>
    </row>
    <row r="171" spans="3:218">
      <c r="FI171" s="734"/>
      <c r="FJ171" s="734"/>
      <c r="FK171" s="15"/>
      <c r="FL171" s="734"/>
      <c r="FM171" s="734"/>
      <c r="FN171" s="734"/>
      <c r="FO171" s="734"/>
      <c r="FP171" s="734"/>
      <c r="FQ171" s="15"/>
      <c r="FR171" s="734"/>
      <c r="FS171" s="734"/>
      <c r="HC171" s="15"/>
      <c r="HD171" s="15"/>
      <c r="HE171" s="15"/>
      <c r="HF171" s="15"/>
      <c r="HG171" s="15"/>
      <c r="HH171" s="15"/>
      <c r="HI171" s="15"/>
      <c r="HJ171" s="15"/>
    </row>
    <row r="172" spans="3:218">
      <c r="FI172" s="734"/>
      <c r="FJ172" s="734"/>
      <c r="FK172" s="15"/>
      <c r="FL172" s="734"/>
      <c r="FM172" s="734"/>
      <c r="FN172" s="734"/>
      <c r="FO172" s="734"/>
      <c r="FP172" s="734"/>
      <c r="FQ172" s="15"/>
      <c r="FR172" s="734"/>
      <c r="FS172" s="734"/>
      <c r="HC172" s="15"/>
      <c r="HD172" s="15"/>
      <c r="HE172" s="15"/>
      <c r="HF172" s="15"/>
      <c r="HG172" s="15"/>
      <c r="HH172" s="15"/>
      <c r="HI172" s="15"/>
      <c r="HJ172" s="15"/>
    </row>
    <row r="173" spans="3:218">
      <c r="FI173" s="734"/>
      <c r="FJ173" s="734"/>
      <c r="FK173" s="15"/>
      <c r="FL173" s="734"/>
      <c r="FM173" s="734"/>
      <c r="FN173" s="734"/>
      <c r="FO173" s="734"/>
      <c r="FP173" s="734"/>
      <c r="FQ173" s="15"/>
      <c r="FR173" s="734"/>
      <c r="FS173" s="734"/>
      <c r="HC173" s="15"/>
      <c r="HD173" s="15"/>
      <c r="HE173" s="15"/>
      <c r="HF173" s="15"/>
      <c r="HG173" s="15"/>
      <c r="HH173" s="15"/>
      <c r="HI173" s="15"/>
      <c r="HJ173" s="15"/>
    </row>
    <row r="174" spans="3:218">
      <c r="FI174" s="734"/>
      <c r="FJ174" s="734"/>
      <c r="FK174" s="15"/>
      <c r="FL174" s="734"/>
      <c r="FM174" s="734"/>
      <c r="FN174" s="734"/>
      <c r="FO174" s="734"/>
      <c r="FP174" s="734"/>
      <c r="FQ174" s="15"/>
      <c r="FR174" s="734"/>
      <c r="FS174" s="734"/>
      <c r="HC174" s="15"/>
      <c r="HD174" s="15"/>
      <c r="HE174" s="15"/>
      <c r="HF174" s="15"/>
      <c r="HG174" s="15"/>
      <c r="HH174" s="15"/>
      <c r="HI174" s="15"/>
      <c r="HJ174" s="15"/>
    </row>
    <row r="175" spans="3:218">
      <c r="FI175" s="734"/>
      <c r="FJ175" s="734"/>
      <c r="FK175" s="15"/>
      <c r="FL175" s="734"/>
      <c r="FM175" s="734"/>
      <c r="FN175" s="734"/>
      <c r="FO175" s="734"/>
      <c r="FP175" s="734"/>
      <c r="FQ175" s="15"/>
      <c r="FR175" s="734"/>
      <c r="FS175" s="734"/>
      <c r="HC175" s="15"/>
      <c r="HD175" s="15"/>
      <c r="HE175" s="15"/>
      <c r="HF175" s="15"/>
      <c r="HG175" s="15"/>
      <c r="HH175" s="15"/>
      <c r="HI175" s="15"/>
      <c r="HJ175" s="15"/>
    </row>
    <row r="176" spans="3:218">
      <c r="FI176" s="734"/>
      <c r="FJ176" s="734"/>
      <c r="FK176" s="15"/>
      <c r="FL176" s="734"/>
      <c r="FM176" s="734"/>
      <c r="FN176" s="734"/>
      <c r="FO176" s="734"/>
      <c r="FP176" s="734"/>
      <c r="FQ176" s="15"/>
      <c r="FR176" s="734"/>
      <c r="FS176" s="734"/>
      <c r="HC176" s="15"/>
      <c r="HD176" s="15"/>
      <c r="HE176" s="15"/>
      <c r="HF176" s="15"/>
      <c r="HG176" s="15"/>
      <c r="HH176" s="15"/>
      <c r="HI176" s="15"/>
      <c r="HJ176" s="15"/>
    </row>
    <row r="177" spans="1:267">
      <c r="FI177" s="734"/>
      <c r="FJ177" s="734"/>
      <c r="FK177" s="15"/>
      <c r="FL177" s="734"/>
      <c r="FM177" s="734"/>
      <c r="FN177" s="734"/>
      <c r="FO177" s="734"/>
      <c r="FP177" s="734"/>
      <c r="FQ177" s="15"/>
      <c r="FR177" s="734"/>
      <c r="FS177" s="734"/>
      <c r="HC177" s="15"/>
      <c r="HD177" s="15"/>
      <c r="HE177" s="15"/>
      <c r="HF177" s="15"/>
      <c r="HG177" s="15"/>
      <c r="HH177" s="15"/>
      <c r="HI177" s="15"/>
      <c r="HJ177" s="15"/>
    </row>
    <row r="178" spans="1:267">
      <c r="FI178" s="734"/>
      <c r="FJ178" s="734"/>
      <c r="FK178" s="15"/>
      <c r="FL178" s="734"/>
      <c r="FM178" s="734"/>
      <c r="FN178" s="734"/>
      <c r="FO178" s="734"/>
      <c r="FP178" s="734"/>
      <c r="FQ178" s="15"/>
      <c r="FR178" s="734"/>
      <c r="FS178" s="734"/>
      <c r="HC178" s="15"/>
      <c r="HD178" s="15"/>
      <c r="HE178" s="15"/>
      <c r="HF178" s="15"/>
      <c r="HG178" s="15"/>
      <c r="HH178" s="15"/>
      <c r="HI178" s="15"/>
      <c r="HJ178" s="15"/>
    </row>
    <row r="179" spans="1:267">
      <c r="FI179" s="734"/>
      <c r="FJ179" s="734"/>
      <c r="FK179" s="15"/>
      <c r="FL179" s="734"/>
      <c r="FM179" s="734"/>
      <c r="FN179" s="734"/>
      <c r="FO179" s="734"/>
      <c r="FP179" s="734"/>
      <c r="FQ179" s="15"/>
      <c r="FR179" s="734"/>
      <c r="FS179" s="734"/>
      <c r="HC179" s="15"/>
      <c r="HD179" s="15"/>
      <c r="HE179" s="15"/>
      <c r="HF179" s="15"/>
      <c r="HG179" s="15"/>
      <c r="HH179" s="15"/>
      <c r="HI179" s="15"/>
      <c r="HJ179" s="15"/>
    </row>
    <row r="180" spans="1:267">
      <c r="FI180" s="734"/>
      <c r="FJ180" s="734"/>
      <c r="FK180" s="15"/>
      <c r="FL180" s="734"/>
      <c r="FM180" s="734"/>
      <c r="FN180" s="734"/>
      <c r="FO180" s="734"/>
      <c r="FP180" s="734"/>
      <c r="FQ180" s="15"/>
      <c r="FR180" s="734"/>
      <c r="FS180" s="734"/>
      <c r="HC180" s="15"/>
      <c r="HD180" s="15"/>
      <c r="HE180" s="15"/>
      <c r="HF180" s="15"/>
      <c r="HG180" s="15"/>
      <c r="HH180" s="15"/>
      <c r="HI180" s="15"/>
      <c r="HJ180" s="15"/>
    </row>
    <row r="181" spans="1:267">
      <c r="FI181" s="734"/>
      <c r="FJ181" s="734"/>
      <c r="FK181" s="15"/>
      <c r="FL181" s="734"/>
      <c r="FM181" s="734"/>
      <c r="FN181" s="734"/>
      <c r="FO181" s="734"/>
      <c r="FP181" s="734"/>
      <c r="FQ181" s="15"/>
      <c r="FR181" s="734"/>
      <c r="FS181" s="734"/>
      <c r="HC181" s="15"/>
      <c r="HD181" s="15"/>
      <c r="HE181" s="15"/>
      <c r="HF181" s="15"/>
      <c r="HG181" s="15"/>
      <c r="HH181" s="15"/>
      <c r="HI181" s="15"/>
      <c r="HJ181" s="15"/>
    </row>
    <row r="182" spans="1:267">
      <c r="FI182" s="734"/>
      <c r="FJ182" s="734"/>
      <c r="FK182" s="15"/>
      <c r="FL182" s="734"/>
      <c r="FM182" s="734"/>
      <c r="FN182" s="734"/>
      <c r="FO182" s="734"/>
      <c r="FP182" s="734"/>
      <c r="FQ182" s="15"/>
      <c r="FR182" s="734"/>
      <c r="FS182" s="734"/>
      <c r="HC182" s="15"/>
      <c r="HD182" s="15"/>
      <c r="HE182" s="15"/>
      <c r="HF182" s="15"/>
      <c r="HG182" s="15"/>
      <c r="HH182" s="15"/>
      <c r="HI182" s="15"/>
      <c r="HJ182" s="15"/>
    </row>
    <row r="183" spans="1:267">
      <c r="FI183" s="734"/>
      <c r="FJ183" s="734"/>
      <c r="FK183" s="15"/>
      <c r="FL183" s="734"/>
      <c r="FM183" s="734"/>
      <c r="FN183" s="734"/>
      <c r="FO183" s="734"/>
      <c r="FP183" s="734"/>
      <c r="FQ183" s="15"/>
      <c r="FR183" s="734"/>
      <c r="FS183" s="734"/>
      <c r="HC183" s="15"/>
      <c r="HD183" s="15"/>
      <c r="HE183" s="15"/>
      <c r="HF183" s="15"/>
      <c r="HG183" s="15"/>
      <c r="HH183" s="15"/>
      <c r="HI183" s="15"/>
      <c r="HJ183" s="15"/>
    </row>
    <row r="184" spans="1:267">
      <c r="FI184" s="734"/>
      <c r="FJ184" s="734"/>
      <c r="FK184" s="15"/>
      <c r="FL184" s="734"/>
      <c r="FM184" s="734"/>
      <c r="FN184" s="734"/>
      <c r="FO184" s="734"/>
      <c r="FP184" s="734"/>
      <c r="FQ184" s="15"/>
      <c r="FR184" s="734"/>
      <c r="FS184" s="734"/>
      <c r="HC184" s="15"/>
      <c r="HD184" s="15"/>
      <c r="HE184" s="15"/>
      <c r="HF184" s="15"/>
      <c r="HG184" s="15"/>
      <c r="HH184" s="15"/>
      <c r="HI184" s="15"/>
      <c r="HJ184" s="15"/>
    </row>
    <row r="185" spans="1:267">
      <c r="FI185" s="734"/>
      <c r="FJ185" s="734"/>
      <c r="FK185" s="15"/>
      <c r="FL185" s="734"/>
      <c r="FM185" s="734"/>
      <c r="FN185" s="734"/>
      <c r="FO185" s="734"/>
      <c r="FP185" s="734"/>
      <c r="FQ185" s="15"/>
      <c r="FR185" s="734"/>
      <c r="FS185" s="734"/>
      <c r="HC185" s="15"/>
      <c r="HD185" s="15"/>
      <c r="HE185" s="15"/>
      <c r="HF185" s="15"/>
      <c r="HG185" s="15"/>
      <c r="HH185" s="15"/>
      <c r="HI185" s="15"/>
      <c r="HJ185" s="15"/>
    </row>
    <row r="186" spans="1:267">
      <c r="FI186" s="734"/>
      <c r="FJ186" s="734"/>
      <c r="FK186" s="15"/>
      <c r="FL186" s="734"/>
      <c r="FM186" s="734"/>
      <c r="FN186" s="734"/>
      <c r="FO186" s="734"/>
      <c r="FP186" s="734"/>
      <c r="FQ186" s="15"/>
      <c r="FR186" s="734"/>
      <c r="FS186" s="734"/>
      <c r="HC186" s="15"/>
      <c r="HD186" s="15"/>
      <c r="HE186" s="15"/>
      <c r="HF186" s="15"/>
      <c r="HG186" s="15"/>
      <c r="HH186" s="15"/>
      <c r="HI186" s="15"/>
      <c r="HJ186" s="15"/>
    </row>
    <row r="187" spans="1:267">
      <c r="FI187" s="734"/>
      <c r="FJ187" s="734"/>
      <c r="FK187" s="15"/>
      <c r="FL187" s="734"/>
      <c r="FM187" s="734"/>
      <c r="FN187" s="734"/>
      <c r="FO187" s="734"/>
      <c r="FP187" s="734"/>
      <c r="FQ187" s="15"/>
      <c r="FR187" s="734"/>
      <c r="FS187" s="734"/>
      <c r="HC187" s="15"/>
      <c r="HD187" s="15"/>
      <c r="HE187" s="15"/>
      <c r="HF187" s="15"/>
      <c r="HG187" s="15"/>
      <c r="HH187" s="15"/>
      <c r="HI187" s="15"/>
      <c r="HJ187" s="15"/>
    </row>
    <row r="188" spans="1:267">
      <c r="FI188" s="734"/>
      <c r="FJ188" s="734"/>
      <c r="FK188" s="15"/>
      <c r="FL188" s="734"/>
      <c r="FM188" s="734"/>
      <c r="FN188" s="734"/>
      <c r="FO188" s="734"/>
      <c r="FP188" s="734"/>
      <c r="FQ188" s="15"/>
      <c r="FR188" s="734"/>
      <c r="FS188" s="734"/>
      <c r="HC188" s="15"/>
      <c r="HD188" s="15"/>
      <c r="HE188" s="15"/>
      <c r="HF188" s="15"/>
      <c r="HG188" s="15"/>
      <c r="HH188" s="15"/>
      <c r="HI188" s="15"/>
      <c r="HJ188" s="15"/>
    </row>
    <row r="189" spans="1:267">
      <c r="FI189" s="734"/>
      <c r="FJ189" s="734"/>
      <c r="FK189" s="15"/>
      <c r="FL189" s="734"/>
      <c r="FM189" s="734"/>
      <c r="FN189" s="734"/>
      <c r="FO189" s="734"/>
      <c r="FP189" s="734"/>
      <c r="FQ189" s="15"/>
      <c r="FR189" s="734"/>
      <c r="FS189" s="734"/>
      <c r="HC189" s="15"/>
      <c r="HD189" s="15"/>
      <c r="HE189" s="15"/>
      <c r="HF189" s="15"/>
      <c r="HG189" s="15"/>
      <c r="HH189" s="15"/>
      <c r="HI189" s="15"/>
      <c r="HJ189" s="15"/>
    </row>
    <row r="190" spans="1:267" s="45" customFormat="1">
      <c r="A190" s="433"/>
      <c r="B190" s="15"/>
      <c r="C190" s="15"/>
      <c r="D190" s="15"/>
      <c r="E190" s="15"/>
      <c r="F190" s="15"/>
      <c r="G190" s="15"/>
      <c r="H190" s="15"/>
      <c r="I190" s="15"/>
      <c r="J190" s="15"/>
      <c r="K190" s="336"/>
      <c r="L190" s="207"/>
      <c r="M190" s="207"/>
      <c r="N190" s="207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1"/>
      <c r="AS190" s="32"/>
      <c r="AT190" s="15"/>
      <c r="AU190" s="15"/>
      <c r="AV190" s="15"/>
      <c r="AW190" s="15"/>
      <c r="AX190" s="15"/>
      <c r="AY190" s="188"/>
      <c r="AZ190" s="188"/>
      <c r="BA190" s="188"/>
      <c r="BB190" s="188"/>
      <c r="BC190" s="188"/>
      <c r="BD190" s="188"/>
      <c r="BE190" s="188"/>
      <c r="BF190" s="188"/>
      <c r="BG190" s="188"/>
      <c r="BH190" s="188"/>
      <c r="BI190" s="188"/>
      <c r="BJ190" s="188"/>
      <c r="BK190" s="188"/>
      <c r="BL190" s="188"/>
      <c r="BM190" s="188"/>
      <c r="BN190" s="188"/>
      <c r="BO190" s="188"/>
      <c r="BP190" s="188"/>
      <c r="BQ190" s="188"/>
      <c r="BR190" s="188"/>
      <c r="BS190" s="188"/>
      <c r="BT190" s="189"/>
      <c r="BU190" s="188"/>
      <c r="BV190" s="234"/>
      <c r="BW190" s="234"/>
      <c r="BX190" s="188"/>
      <c r="BY190" s="188"/>
      <c r="BZ190" s="188"/>
      <c r="CA190" s="188"/>
      <c r="CB190" s="188"/>
      <c r="CC190" s="778"/>
      <c r="CD190" s="15"/>
      <c r="CE190" s="15"/>
      <c r="CF190" s="15"/>
      <c r="CG190" s="15"/>
      <c r="CH190" s="241"/>
      <c r="CI190" s="241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419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734"/>
      <c r="DV190" s="734"/>
      <c r="DW190" s="33"/>
      <c r="DX190" s="15"/>
      <c r="DY190" s="734"/>
      <c r="DZ190" s="15"/>
      <c r="EA190" s="734"/>
      <c r="EB190" s="15"/>
      <c r="EC190" s="15"/>
      <c r="ED190" s="15"/>
      <c r="EE190" s="15"/>
      <c r="EF190" s="15"/>
      <c r="EG190" s="734"/>
      <c r="EH190" s="734"/>
      <c r="EI190" s="15"/>
      <c r="EJ190" s="734"/>
      <c r="EK190" s="734"/>
      <c r="EL190" s="734"/>
      <c r="EM190" s="15"/>
      <c r="EN190" s="734"/>
      <c r="EO190" s="734"/>
      <c r="EP190" s="15"/>
      <c r="EQ190" s="734"/>
      <c r="ER190" s="734"/>
      <c r="ES190" s="33"/>
      <c r="ET190" s="734"/>
      <c r="EU190" s="734"/>
      <c r="EV190" s="15"/>
      <c r="EW190" s="734"/>
      <c r="EX190" s="734"/>
      <c r="EY190" s="15"/>
      <c r="EZ190" s="734"/>
      <c r="FA190" s="734"/>
      <c r="FB190" s="15"/>
      <c r="FC190" s="734"/>
      <c r="FD190" s="734"/>
      <c r="FE190" s="15"/>
      <c r="FF190" s="734"/>
      <c r="FG190" s="734"/>
      <c r="FH190" s="15"/>
      <c r="FI190" s="734"/>
      <c r="FJ190" s="734"/>
      <c r="FK190" s="15"/>
      <c r="FL190" s="734"/>
      <c r="FM190" s="734"/>
      <c r="FN190" s="734"/>
      <c r="FO190" s="734"/>
      <c r="FP190" s="734"/>
      <c r="FQ190" s="15"/>
      <c r="FR190" s="734"/>
      <c r="FS190" s="734"/>
      <c r="FT190" s="766"/>
      <c r="FU190" s="766"/>
      <c r="FV190" s="766"/>
      <c r="FW190" s="766"/>
      <c r="GA190" s="758"/>
      <c r="GB190" s="758"/>
      <c r="GD190" s="188"/>
      <c r="GE190" s="825"/>
      <c r="GF190" s="15"/>
      <c r="GG190" s="15"/>
      <c r="GH190" s="15"/>
      <c r="GI190" s="15"/>
      <c r="GJ190" s="15"/>
      <c r="GK190" s="15"/>
      <c r="GL190" s="15"/>
      <c r="GM190" s="15"/>
      <c r="GN190" s="15"/>
      <c r="GO190" s="15"/>
      <c r="GP190" s="15"/>
      <c r="GQ190" s="15"/>
      <c r="GR190" s="15"/>
      <c r="GS190" s="15"/>
      <c r="GT190" s="15"/>
      <c r="GU190" s="15"/>
      <c r="GV190" s="15"/>
      <c r="GW190" s="15"/>
      <c r="GX190" s="15"/>
      <c r="GY190" s="15"/>
      <c r="GZ190" s="896"/>
      <c r="HA190" s="15"/>
      <c r="HB190" s="15"/>
      <c r="HC190" s="15"/>
      <c r="HD190" s="15"/>
      <c r="HE190" s="15"/>
      <c r="HF190" s="15"/>
      <c r="HG190" s="15"/>
      <c r="HH190" s="15"/>
      <c r="HI190" s="15"/>
      <c r="HJ190" s="15"/>
      <c r="HK190" s="15"/>
      <c r="HL190" s="15"/>
      <c r="HM190" s="15"/>
      <c r="HN190" s="15"/>
      <c r="HO190" s="15"/>
      <c r="HP190" s="15"/>
      <c r="HQ190" s="15"/>
      <c r="HR190" s="15"/>
      <c r="HS190" s="15"/>
      <c r="HT190" s="15"/>
      <c r="HU190" s="15"/>
      <c r="HV190" s="15"/>
      <c r="HW190" s="15"/>
      <c r="HX190" s="15"/>
      <c r="HY190" s="15"/>
      <c r="HZ190" s="15"/>
      <c r="IA190" s="15"/>
      <c r="IB190" s="15"/>
      <c r="IC190" s="15"/>
      <c r="ID190" s="15"/>
      <c r="IE190" s="15"/>
      <c r="IF190" s="15"/>
      <c r="IG190" s="15"/>
      <c r="IH190" s="15"/>
      <c r="II190" s="15"/>
      <c r="IJ190" s="15"/>
      <c r="IK190" s="15"/>
      <c r="IL190" s="15"/>
      <c r="IM190" s="15"/>
      <c r="IN190" s="15"/>
      <c r="IO190" s="15"/>
      <c r="IP190" s="15"/>
      <c r="IQ190" s="15"/>
      <c r="IR190" s="15"/>
      <c r="IS190" s="15"/>
      <c r="IT190" s="15"/>
      <c r="IU190" s="15"/>
      <c r="IV190" s="15"/>
      <c r="IW190" s="15"/>
      <c r="IX190" s="15"/>
      <c r="IY190" s="15"/>
      <c r="IZ190" s="15"/>
      <c r="JA190" s="15"/>
      <c r="JB190" s="15"/>
      <c r="JC190" s="15"/>
      <c r="JD190" s="15"/>
      <c r="JE190" s="15"/>
      <c r="JF190" s="15"/>
      <c r="JG190" s="15"/>
    </row>
    <row r="191" spans="1:267" s="45" customFormat="1">
      <c r="A191" s="433"/>
      <c r="B191" s="15"/>
      <c r="C191" s="15"/>
      <c r="D191" s="15"/>
      <c r="E191" s="15"/>
      <c r="F191" s="15"/>
      <c r="G191" s="15"/>
      <c r="H191" s="15"/>
      <c r="I191" s="15"/>
      <c r="J191" s="15"/>
      <c r="K191" s="336"/>
      <c r="L191" s="207"/>
      <c r="M191" s="207"/>
      <c r="N191" s="207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1"/>
      <c r="AS191" s="32"/>
      <c r="AT191" s="15"/>
      <c r="AU191" s="15"/>
      <c r="AV191" s="15"/>
      <c r="AW191" s="15"/>
      <c r="AX191" s="15"/>
      <c r="AY191" s="188"/>
      <c r="AZ191" s="188"/>
      <c r="BA191" s="188"/>
      <c r="BB191" s="188"/>
      <c r="BC191" s="188"/>
      <c r="BD191" s="188"/>
      <c r="BE191" s="188"/>
      <c r="BF191" s="188"/>
      <c r="BG191" s="188"/>
      <c r="BH191" s="188"/>
      <c r="BI191" s="188"/>
      <c r="BJ191" s="188"/>
      <c r="BK191" s="188"/>
      <c r="BL191" s="188"/>
      <c r="BM191" s="188"/>
      <c r="BN191" s="188"/>
      <c r="BO191" s="188"/>
      <c r="BP191" s="188"/>
      <c r="BQ191" s="188"/>
      <c r="BR191" s="188"/>
      <c r="BS191" s="188"/>
      <c r="BT191" s="189"/>
      <c r="BU191" s="188"/>
      <c r="BV191" s="234"/>
      <c r="BW191" s="234"/>
      <c r="BX191" s="188"/>
      <c r="BY191" s="188"/>
      <c r="BZ191" s="188"/>
      <c r="CA191" s="188"/>
      <c r="CB191" s="188"/>
      <c r="CC191" s="778"/>
      <c r="CD191" s="15"/>
      <c r="CE191" s="15"/>
      <c r="CF191" s="15"/>
      <c r="CG191" s="15"/>
      <c r="CH191" s="241"/>
      <c r="CI191" s="241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419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734"/>
      <c r="DV191" s="734"/>
      <c r="DW191" s="33"/>
      <c r="DX191" s="15"/>
      <c r="DY191" s="734"/>
      <c r="DZ191" s="15"/>
      <c r="EA191" s="734"/>
      <c r="EB191" s="15"/>
      <c r="EC191" s="15"/>
      <c r="ED191" s="15"/>
      <c r="EE191" s="15"/>
      <c r="EF191" s="15"/>
      <c r="EG191" s="734"/>
      <c r="EH191" s="734"/>
      <c r="EI191" s="15"/>
      <c r="EJ191" s="734"/>
      <c r="EK191" s="734"/>
      <c r="EL191" s="734"/>
      <c r="EM191" s="15"/>
      <c r="EN191" s="734"/>
      <c r="EO191" s="734"/>
      <c r="EP191" s="15"/>
      <c r="EQ191" s="734"/>
      <c r="ER191" s="734"/>
      <c r="ES191" s="33"/>
      <c r="ET191" s="734"/>
      <c r="EU191" s="734"/>
      <c r="EV191" s="15"/>
      <c r="EW191" s="734"/>
      <c r="EX191" s="734"/>
      <c r="EY191" s="15"/>
      <c r="EZ191" s="734"/>
      <c r="FA191" s="734"/>
      <c r="FB191" s="15"/>
      <c r="FC191" s="734"/>
      <c r="FD191" s="734"/>
      <c r="FE191" s="15"/>
      <c r="FF191" s="734"/>
      <c r="FG191" s="734"/>
      <c r="FH191" s="15"/>
      <c r="FI191" s="734"/>
      <c r="FJ191" s="734"/>
      <c r="FK191" s="15"/>
      <c r="FL191" s="734"/>
      <c r="FM191" s="734"/>
      <c r="FN191" s="734"/>
      <c r="FO191" s="734"/>
      <c r="FP191" s="734"/>
      <c r="FQ191" s="15"/>
      <c r="FR191" s="734"/>
      <c r="FS191" s="734"/>
      <c r="FT191" s="766"/>
      <c r="FU191" s="766"/>
      <c r="FV191" s="766"/>
      <c r="FW191" s="766"/>
      <c r="GA191" s="758"/>
      <c r="GB191" s="758"/>
      <c r="GD191" s="188"/>
      <c r="GE191" s="825"/>
      <c r="GF191" s="15"/>
      <c r="GG191" s="15"/>
      <c r="GH191" s="15"/>
      <c r="GI191" s="15"/>
      <c r="GJ191" s="15"/>
      <c r="GK191" s="15"/>
      <c r="GL191" s="15"/>
      <c r="GM191" s="15"/>
      <c r="GN191" s="15"/>
      <c r="GO191" s="15"/>
      <c r="GP191" s="15"/>
      <c r="GQ191" s="15"/>
      <c r="GR191" s="15"/>
      <c r="GS191" s="15"/>
      <c r="GT191" s="15"/>
      <c r="GU191" s="15"/>
      <c r="GV191" s="15"/>
      <c r="GW191" s="15"/>
      <c r="GX191" s="15"/>
      <c r="GY191" s="15"/>
      <c r="GZ191" s="896"/>
      <c r="HA191" s="15"/>
      <c r="HB191" s="15"/>
      <c r="HC191" s="15"/>
      <c r="HD191" s="15"/>
      <c r="HE191" s="15"/>
      <c r="HF191" s="15"/>
      <c r="HG191" s="15"/>
      <c r="HH191" s="15"/>
      <c r="HI191" s="15"/>
      <c r="HJ191" s="15"/>
      <c r="HK191" s="15"/>
      <c r="HL191" s="15"/>
      <c r="HM191" s="15"/>
      <c r="HN191" s="15"/>
      <c r="HO191" s="15"/>
      <c r="HP191" s="15"/>
      <c r="HQ191" s="15"/>
      <c r="HR191" s="15"/>
      <c r="HS191" s="15"/>
      <c r="HT191" s="15"/>
      <c r="HU191" s="15"/>
      <c r="HV191" s="15"/>
      <c r="HW191" s="15"/>
      <c r="HX191" s="15"/>
      <c r="HY191" s="15"/>
      <c r="HZ191" s="15"/>
      <c r="IA191" s="15"/>
      <c r="IB191" s="15"/>
      <c r="IC191" s="15"/>
      <c r="ID191" s="15"/>
      <c r="IE191" s="15"/>
      <c r="IF191" s="15"/>
      <c r="IG191" s="15"/>
      <c r="IH191" s="15"/>
      <c r="II191" s="15"/>
      <c r="IJ191" s="15"/>
      <c r="IK191" s="15"/>
      <c r="IL191" s="15"/>
      <c r="IM191" s="15"/>
      <c r="IN191" s="15"/>
      <c r="IO191" s="15"/>
      <c r="IP191" s="15"/>
      <c r="IQ191" s="15"/>
      <c r="IR191" s="15"/>
      <c r="IS191" s="15"/>
      <c r="IT191" s="15"/>
      <c r="IU191" s="15"/>
      <c r="IV191" s="15"/>
      <c r="IW191" s="15"/>
      <c r="IX191" s="15"/>
      <c r="IY191" s="15"/>
      <c r="IZ191" s="15"/>
      <c r="JA191" s="15"/>
      <c r="JB191" s="15"/>
      <c r="JC191" s="15"/>
      <c r="JD191" s="15"/>
      <c r="JE191" s="15"/>
      <c r="JF191" s="15"/>
      <c r="JG191" s="15"/>
    </row>
    <row r="192" spans="1:267" s="45" customFormat="1">
      <c r="A192" s="433"/>
      <c r="B192" s="15"/>
      <c r="C192" s="15"/>
      <c r="D192" s="15"/>
      <c r="E192" s="15"/>
      <c r="F192" s="15"/>
      <c r="G192" s="15"/>
      <c r="H192" s="15"/>
      <c r="I192" s="15"/>
      <c r="J192" s="15"/>
      <c r="K192" s="336"/>
      <c r="L192" s="207"/>
      <c r="M192" s="207"/>
      <c r="N192" s="207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1"/>
      <c r="AS192" s="32"/>
      <c r="AT192" s="15"/>
      <c r="AU192" s="15"/>
      <c r="AV192" s="15"/>
      <c r="AW192" s="15"/>
      <c r="AX192" s="15"/>
      <c r="AY192" s="188"/>
      <c r="AZ192" s="188"/>
      <c r="BA192" s="188"/>
      <c r="BB192" s="188"/>
      <c r="BC192" s="188"/>
      <c r="BD192" s="188"/>
      <c r="BE192" s="188"/>
      <c r="BF192" s="188"/>
      <c r="BG192" s="188"/>
      <c r="BH192" s="188"/>
      <c r="BI192" s="188"/>
      <c r="BJ192" s="188"/>
      <c r="BK192" s="188"/>
      <c r="BL192" s="188"/>
      <c r="BM192" s="188"/>
      <c r="BN192" s="188"/>
      <c r="BO192" s="188"/>
      <c r="BP192" s="188"/>
      <c r="BQ192" s="188"/>
      <c r="BR192" s="188"/>
      <c r="BS192" s="188"/>
      <c r="BT192" s="189"/>
      <c r="BU192" s="188"/>
      <c r="BV192" s="234"/>
      <c r="BW192" s="234"/>
      <c r="BX192" s="188"/>
      <c r="BY192" s="188"/>
      <c r="BZ192" s="188"/>
      <c r="CA192" s="188"/>
      <c r="CB192" s="188"/>
      <c r="CC192" s="778"/>
      <c r="CD192" s="15"/>
      <c r="CE192" s="15"/>
      <c r="CF192" s="15"/>
      <c r="CG192" s="15"/>
      <c r="CH192" s="241"/>
      <c r="CI192" s="241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419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734"/>
      <c r="DV192" s="734"/>
      <c r="DW192" s="33"/>
      <c r="DX192" s="15"/>
      <c r="DY192" s="734"/>
      <c r="DZ192" s="15"/>
      <c r="EA192" s="734"/>
      <c r="EB192" s="15"/>
      <c r="EC192" s="15"/>
      <c r="ED192" s="15"/>
      <c r="EE192" s="15"/>
      <c r="EF192" s="15"/>
      <c r="EG192" s="734"/>
      <c r="EH192" s="734"/>
      <c r="EI192" s="15"/>
      <c r="EJ192" s="734"/>
      <c r="EK192" s="734"/>
      <c r="EL192" s="734"/>
      <c r="EM192" s="15"/>
      <c r="EN192" s="734"/>
      <c r="EO192" s="734"/>
      <c r="EP192" s="15"/>
      <c r="EQ192" s="734"/>
      <c r="ER192" s="734"/>
      <c r="ES192" s="33"/>
      <c r="ET192" s="734"/>
      <c r="EU192" s="734"/>
      <c r="EV192" s="15"/>
      <c r="EW192" s="734"/>
      <c r="EX192" s="734"/>
      <c r="EY192" s="15"/>
      <c r="EZ192" s="734"/>
      <c r="FA192" s="734"/>
      <c r="FB192" s="15"/>
      <c r="FC192" s="734"/>
      <c r="FD192" s="734"/>
      <c r="FE192" s="15"/>
      <c r="FF192" s="734"/>
      <c r="FG192" s="734"/>
      <c r="FH192" s="15"/>
      <c r="FI192" s="734"/>
      <c r="FJ192" s="734"/>
      <c r="FK192" s="15"/>
      <c r="FL192" s="734"/>
      <c r="FM192" s="734"/>
      <c r="FN192" s="734"/>
      <c r="FO192" s="734"/>
      <c r="FP192" s="734"/>
      <c r="FQ192" s="15"/>
      <c r="FR192" s="734"/>
      <c r="FS192" s="734"/>
      <c r="FT192" s="766"/>
      <c r="FU192" s="766"/>
      <c r="FV192" s="766"/>
      <c r="FW192" s="766"/>
      <c r="GA192" s="758"/>
      <c r="GB192" s="758"/>
      <c r="GD192" s="188"/>
      <c r="GE192" s="825"/>
      <c r="GF192" s="15"/>
      <c r="GG192" s="15"/>
      <c r="GH192" s="15"/>
      <c r="GI192" s="15"/>
      <c r="GJ192" s="15"/>
      <c r="GK192" s="15"/>
      <c r="GL192" s="15"/>
      <c r="GM192" s="15"/>
      <c r="GN192" s="15"/>
      <c r="GO192" s="15"/>
      <c r="GP192" s="15"/>
      <c r="GQ192" s="15"/>
      <c r="GR192" s="15"/>
      <c r="GS192" s="15"/>
      <c r="GT192" s="15"/>
      <c r="GU192" s="15"/>
      <c r="GV192" s="15"/>
      <c r="GW192" s="15"/>
      <c r="GX192" s="15"/>
      <c r="GY192" s="15"/>
      <c r="GZ192" s="896"/>
      <c r="HA192" s="15"/>
      <c r="HB192" s="15"/>
      <c r="HC192" s="15"/>
      <c r="HD192" s="15"/>
      <c r="HE192" s="15"/>
      <c r="HF192" s="15"/>
      <c r="HG192" s="15"/>
      <c r="HH192" s="15"/>
      <c r="HI192" s="15"/>
      <c r="HJ192" s="15"/>
      <c r="HK192" s="15"/>
      <c r="HL192" s="15"/>
      <c r="HM192" s="15"/>
      <c r="HN192" s="15"/>
      <c r="HO192" s="15"/>
      <c r="HP192" s="15"/>
      <c r="HQ192" s="15"/>
      <c r="HR192" s="15"/>
      <c r="HS192" s="15"/>
      <c r="HT192" s="15"/>
      <c r="HU192" s="15"/>
      <c r="HV192" s="15"/>
      <c r="HW192" s="15"/>
      <c r="HX192" s="15"/>
      <c r="HY192" s="15"/>
      <c r="HZ192" s="15"/>
      <c r="IA192" s="15"/>
      <c r="IB192" s="15"/>
      <c r="IC192" s="15"/>
      <c r="ID192" s="15"/>
      <c r="IE192" s="15"/>
      <c r="IF192" s="15"/>
      <c r="IG192" s="15"/>
      <c r="IH192" s="15"/>
      <c r="II192" s="15"/>
      <c r="IJ192" s="15"/>
      <c r="IK192" s="15"/>
      <c r="IL192" s="15"/>
      <c r="IM192" s="15"/>
      <c r="IN192" s="15"/>
      <c r="IO192" s="15"/>
      <c r="IP192" s="15"/>
      <c r="IQ192" s="15"/>
      <c r="IR192" s="15"/>
      <c r="IS192" s="15"/>
      <c r="IT192" s="15"/>
      <c r="IU192" s="15"/>
      <c r="IV192" s="15"/>
      <c r="IW192" s="15"/>
      <c r="IX192" s="15"/>
      <c r="IY192" s="15"/>
      <c r="IZ192" s="15"/>
      <c r="JA192" s="15"/>
      <c r="JB192" s="15"/>
      <c r="JC192" s="15"/>
      <c r="JD192" s="15"/>
      <c r="JE192" s="15"/>
      <c r="JF192" s="15"/>
      <c r="JG192" s="15"/>
    </row>
    <row r="193" spans="1:267" s="45" customFormat="1">
      <c r="A193" s="433"/>
      <c r="B193" s="15"/>
      <c r="C193" s="15"/>
      <c r="D193" s="15"/>
      <c r="E193" s="15"/>
      <c r="F193" s="15"/>
      <c r="G193" s="15"/>
      <c r="H193" s="15"/>
      <c r="I193" s="15"/>
      <c r="J193" s="15"/>
      <c r="K193" s="336"/>
      <c r="L193" s="207"/>
      <c r="M193" s="207"/>
      <c r="N193" s="207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1"/>
      <c r="AS193" s="32"/>
      <c r="AT193" s="15"/>
      <c r="AU193" s="15"/>
      <c r="AV193" s="15"/>
      <c r="AW193" s="15"/>
      <c r="AX193" s="15"/>
      <c r="AY193" s="188"/>
      <c r="AZ193" s="188"/>
      <c r="BA193" s="188"/>
      <c r="BB193" s="188"/>
      <c r="BC193" s="188"/>
      <c r="BD193" s="188"/>
      <c r="BE193" s="188"/>
      <c r="BF193" s="188"/>
      <c r="BG193" s="188"/>
      <c r="BH193" s="188"/>
      <c r="BI193" s="188"/>
      <c r="BJ193" s="188"/>
      <c r="BK193" s="188"/>
      <c r="BL193" s="188"/>
      <c r="BM193" s="188"/>
      <c r="BN193" s="188"/>
      <c r="BO193" s="188"/>
      <c r="BP193" s="188"/>
      <c r="BQ193" s="188"/>
      <c r="BR193" s="188"/>
      <c r="BS193" s="188"/>
      <c r="BT193" s="189"/>
      <c r="BU193" s="188"/>
      <c r="BV193" s="234"/>
      <c r="BW193" s="234"/>
      <c r="BX193" s="188"/>
      <c r="BY193" s="188"/>
      <c r="BZ193" s="188"/>
      <c r="CA193" s="188"/>
      <c r="CB193" s="188"/>
      <c r="CC193" s="778"/>
      <c r="CD193" s="15"/>
      <c r="CE193" s="15"/>
      <c r="CF193" s="15"/>
      <c r="CG193" s="15"/>
      <c r="CH193" s="241"/>
      <c r="CI193" s="241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419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734"/>
      <c r="DV193" s="734"/>
      <c r="DW193" s="33"/>
      <c r="DX193" s="15"/>
      <c r="DY193" s="734"/>
      <c r="DZ193" s="15"/>
      <c r="EA193" s="734"/>
      <c r="EB193" s="15"/>
      <c r="EC193" s="15"/>
      <c r="ED193" s="15"/>
      <c r="EE193" s="15"/>
      <c r="EF193" s="15"/>
      <c r="EG193" s="734"/>
      <c r="EH193" s="734"/>
      <c r="EI193" s="15"/>
      <c r="EJ193" s="734"/>
      <c r="EK193" s="734"/>
      <c r="EL193" s="734"/>
      <c r="EM193" s="15"/>
      <c r="EN193" s="734"/>
      <c r="EO193" s="734"/>
      <c r="EP193" s="15"/>
      <c r="EQ193" s="734"/>
      <c r="ER193" s="734"/>
      <c r="ES193" s="33"/>
      <c r="ET193" s="734"/>
      <c r="EU193" s="734"/>
      <c r="EV193" s="15"/>
      <c r="EW193" s="734"/>
      <c r="EX193" s="734"/>
      <c r="EY193" s="15"/>
      <c r="EZ193" s="734"/>
      <c r="FA193" s="734"/>
      <c r="FB193" s="15"/>
      <c r="FC193" s="734"/>
      <c r="FD193" s="734"/>
      <c r="FE193" s="15"/>
      <c r="FF193" s="734"/>
      <c r="FG193" s="734"/>
      <c r="FH193" s="15"/>
      <c r="FI193" s="734"/>
      <c r="FJ193" s="734"/>
      <c r="FK193" s="15"/>
      <c r="FL193" s="734"/>
      <c r="FM193" s="734"/>
      <c r="FN193" s="734"/>
      <c r="FO193" s="734"/>
      <c r="FP193" s="734"/>
      <c r="FQ193" s="15"/>
      <c r="FR193" s="734"/>
      <c r="FS193" s="734"/>
      <c r="FT193" s="766"/>
      <c r="FU193" s="766"/>
      <c r="FV193" s="766"/>
      <c r="FW193" s="766"/>
      <c r="GA193" s="758"/>
      <c r="GB193" s="758"/>
      <c r="GD193" s="188"/>
      <c r="GE193" s="825"/>
      <c r="GF193" s="15"/>
      <c r="GG193" s="15"/>
      <c r="GH193" s="15"/>
      <c r="GI193" s="15"/>
      <c r="GJ193" s="15"/>
      <c r="GK193" s="15"/>
      <c r="GL193" s="15"/>
      <c r="GM193" s="15"/>
      <c r="GN193" s="15"/>
      <c r="GO193" s="15"/>
      <c r="GP193" s="15"/>
      <c r="GQ193" s="15"/>
      <c r="GR193" s="15"/>
      <c r="GS193" s="15"/>
      <c r="GT193" s="15"/>
      <c r="GU193" s="15"/>
      <c r="GV193" s="15"/>
      <c r="GW193" s="15"/>
      <c r="GX193" s="15"/>
      <c r="GY193" s="15"/>
      <c r="GZ193" s="896"/>
      <c r="HA193" s="15"/>
      <c r="HB193" s="15"/>
      <c r="HC193" s="15"/>
      <c r="HD193" s="15"/>
      <c r="HE193" s="15"/>
      <c r="HF193" s="15"/>
      <c r="HG193" s="15"/>
      <c r="HH193" s="15"/>
      <c r="HI193" s="15"/>
      <c r="HJ193" s="15"/>
      <c r="HK193" s="15"/>
      <c r="HL193" s="15"/>
      <c r="HM193" s="15"/>
      <c r="HN193" s="15"/>
      <c r="HO193" s="15"/>
      <c r="HP193" s="15"/>
      <c r="HQ193" s="15"/>
      <c r="HR193" s="15"/>
      <c r="HS193" s="15"/>
      <c r="HT193" s="15"/>
      <c r="HU193" s="15"/>
      <c r="HV193" s="15"/>
      <c r="HW193" s="15"/>
      <c r="HX193" s="15"/>
      <c r="HY193" s="15"/>
      <c r="HZ193" s="15"/>
      <c r="IA193" s="15"/>
      <c r="IB193" s="15"/>
      <c r="IC193" s="15"/>
      <c r="ID193" s="15"/>
      <c r="IE193" s="15"/>
      <c r="IF193" s="15"/>
      <c r="IG193" s="15"/>
      <c r="IH193" s="15"/>
      <c r="II193" s="15"/>
      <c r="IJ193" s="15"/>
      <c r="IK193" s="15"/>
      <c r="IL193" s="15"/>
      <c r="IM193" s="15"/>
      <c r="IN193" s="15"/>
      <c r="IO193" s="15"/>
      <c r="IP193" s="15"/>
      <c r="IQ193" s="15"/>
      <c r="IR193" s="15"/>
      <c r="IS193" s="15"/>
      <c r="IT193" s="15"/>
      <c r="IU193" s="15"/>
      <c r="IV193" s="15"/>
      <c r="IW193" s="15"/>
      <c r="IX193" s="15"/>
      <c r="IY193" s="15"/>
      <c r="IZ193" s="15"/>
      <c r="JA193" s="15"/>
      <c r="JB193" s="15"/>
      <c r="JC193" s="15"/>
      <c r="JD193" s="15"/>
      <c r="JE193" s="15"/>
      <c r="JF193" s="15"/>
      <c r="JG193" s="15"/>
    </row>
    <row r="194" spans="1:267" s="45" customFormat="1">
      <c r="A194" s="433"/>
      <c r="B194" s="15"/>
      <c r="C194" s="15"/>
      <c r="D194" s="15"/>
      <c r="E194" s="15"/>
      <c r="F194" s="15"/>
      <c r="G194" s="15"/>
      <c r="H194" s="15"/>
      <c r="I194" s="15"/>
      <c r="J194" s="15"/>
      <c r="K194" s="336"/>
      <c r="L194" s="207"/>
      <c r="M194" s="207"/>
      <c r="N194" s="207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1"/>
      <c r="AS194" s="32"/>
      <c r="AT194" s="15"/>
      <c r="AU194" s="15"/>
      <c r="AV194" s="15"/>
      <c r="AW194" s="15"/>
      <c r="AX194" s="15"/>
      <c r="AY194" s="188"/>
      <c r="AZ194" s="188"/>
      <c r="BA194" s="188"/>
      <c r="BB194" s="188"/>
      <c r="BC194" s="188"/>
      <c r="BD194" s="188"/>
      <c r="BE194" s="188"/>
      <c r="BF194" s="188"/>
      <c r="BG194" s="188"/>
      <c r="BH194" s="188"/>
      <c r="BI194" s="188"/>
      <c r="BJ194" s="188"/>
      <c r="BK194" s="188"/>
      <c r="BL194" s="188"/>
      <c r="BM194" s="188"/>
      <c r="BN194" s="188"/>
      <c r="BO194" s="188"/>
      <c r="BP194" s="188"/>
      <c r="BQ194" s="188"/>
      <c r="BR194" s="188"/>
      <c r="BS194" s="188"/>
      <c r="BT194" s="189"/>
      <c r="BU194" s="188"/>
      <c r="BV194" s="234"/>
      <c r="BW194" s="234"/>
      <c r="BX194" s="188"/>
      <c r="BY194" s="188"/>
      <c r="BZ194" s="188"/>
      <c r="CA194" s="188"/>
      <c r="CB194" s="188"/>
      <c r="CC194" s="778"/>
      <c r="CD194" s="15"/>
      <c r="CE194" s="15"/>
      <c r="CF194" s="15"/>
      <c r="CG194" s="15"/>
      <c r="CH194" s="241"/>
      <c r="CI194" s="241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419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734"/>
      <c r="DV194" s="734"/>
      <c r="DW194" s="33"/>
      <c r="DX194" s="15"/>
      <c r="DY194" s="734"/>
      <c r="DZ194" s="15"/>
      <c r="EA194" s="734"/>
      <c r="EB194" s="15"/>
      <c r="EC194" s="15"/>
      <c r="ED194" s="15"/>
      <c r="EE194" s="15"/>
      <c r="EF194" s="15"/>
      <c r="EG194" s="734"/>
      <c r="EH194" s="734"/>
      <c r="EI194" s="15"/>
      <c r="EJ194" s="734"/>
      <c r="EK194" s="734"/>
      <c r="EL194" s="734"/>
      <c r="EM194" s="15"/>
      <c r="EN194" s="734"/>
      <c r="EO194" s="734"/>
      <c r="EP194" s="15"/>
      <c r="EQ194" s="734"/>
      <c r="ER194" s="734"/>
      <c r="ES194" s="33"/>
      <c r="ET194" s="734"/>
      <c r="EU194" s="734"/>
      <c r="EV194" s="15"/>
      <c r="EW194" s="734"/>
      <c r="EX194" s="734"/>
      <c r="EY194" s="15"/>
      <c r="EZ194" s="734"/>
      <c r="FA194" s="734"/>
      <c r="FB194" s="15"/>
      <c r="FC194" s="734"/>
      <c r="FD194" s="734"/>
      <c r="FE194" s="15"/>
      <c r="FF194" s="734"/>
      <c r="FG194" s="734"/>
      <c r="FH194" s="15"/>
      <c r="FI194" s="734"/>
      <c r="FJ194" s="734"/>
      <c r="FK194" s="15"/>
      <c r="FL194" s="734"/>
      <c r="FM194" s="734"/>
      <c r="FN194" s="734"/>
      <c r="FO194" s="734"/>
      <c r="FP194" s="734"/>
      <c r="FQ194" s="15"/>
      <c r="FR194" s="734"/>
      <c r="FS194" s="734"/>
      <c r="FT194" s="766"/>
      <c r="FU194" s="766"/>
      <c r="FV194" s="766"/>
      <c r="FW194" s="766"/>
      <c r="GA194" s="758"/>
      <c r="GB194" s="758"/>
      <c r="GD194" s="188"/>
      <c r="GE194" s="825"/>
      <c r="GF194" s="15"/>
      <c r="GG194" s="15"/>
      <c r="GH194" s="15"/>
      <c r="GI194" s="15"/>
      <c r="GJ194" s="15"/>
      <c r="GK194" s="15"/>
      <c r="GL194" s="15"/>
      <c r="GM194" s="15"/>
      <c r="GN194" s="15"/>
      <c r="GO194" s="15"/>
      <c r="GP194" s="15"/>
      <c r="GQ194" s="15"/>
      <c r="GR194" s="15"/>
      <c r="GS194" s="15"/>
      <c r="GT194" s="15"/>
      <c r="GU194" s="15"/>
      <c r="GV194" s="15"/>
      <c r="GW194" s="15"/>
      <c r="GX194" s="15"/>
      <c r="GY194" s="15"/>
      <c r="GZ194" s="896"/>
      <c r="HA194" s="15"/>
      <c r="HB194" s="15"/>
      <c r="HC194" s="15"/>
      <c r="HD194" s="15"/>
      <c r="HE194" s="15"/>
      <c r="HF194" s="15"/>
      <c r="HG194" s="15"/>
      <c r="HH194" s="15"/>
      <c r="HI194" s="15"/>
      <c r="HJ194" s="15"/>
      <c r="HK194" s="15"/>
      <c r="HL194" s="15"/>
      <c r="HM194" s="15"/>
      <c r="HN194" s="15"/>
      <c r="HO194" s="15"/>
      <c r="HP194" s="15"/>
      <c r="HQ194" s="15"/>
      <c r="HR194" s="15"/>
      <c r="HS194" s="15"/>
      <c r="HT194" s="15"/>
      <c r="HU194" s="15"/>
      <c r="HV194" s="15"/>
      <c r="HW194" s="15"/>
      <c r="HX194" s="15"/>
      <c r="HY194" s="15"/>
      <c r="HZ194" s="15"/>
      <c r="IA194" s="15"/>
      <c r="IB194" s="15"/>
      <c r="IC194" s="15"/>
      <c r="ID194" s="15"/>
      <c r="IE194" s="15"/>
      <c r="IF194" s="15"/>
      <c r="IG194" s="15"/>
      <c r="IH194" s="15"/>
      <c r="II194" s="15"/>
      <c r="IJ194" s="15"/>
      <c r="IK194" s="15"/>
      <c r="IL194" s="15"/>
      <c r="IM194" s="15"/>
      <c r="IN194" s="15"/>
      <c r="IO194" s="15"/>
      <c r="IP194" s="15"/>
      <c r="IQ194" s="15"/>
      <c r="IR194" s="15"/>
      <c r="IS194" s="15"/>
      <c r="IT194" s="15"/>
      <c r="IU194" s="15"/>
      <c r="IV194" s="15"/>
      <c r="IW194" s="15"/>
      <c r="IX194" s="15"/>
      <c r="IY194" s="15"/>
      <c r="IZ194" s="15"/>
      <c r="JA194" s="15"/>
      <c r="JB194" s="15"/>
      <c r="JC194" s="15"/>
      <c r="JD194" s="15"/>
      <c r="JE194" s="15"/>
      <c r="JF194" s="15"/>
      <c r="JG194" s="15"/>
    </row>
    <row r="195" spans="1:267" s="45" customFormat="1">
      <c r="A195" s="433"/>
      <c r="B195" s="15"/>
      <c r="C195" s="15"/>
      <c r="D195" s="15"/>
      <c r="E195" s="15"/>
      <c r="F195" s="15"/>
      <c r="G195" s="15"/>
      <c r="H195" s="15"/>
      <c r="I195" s="15"/>
      <c r="J195" s="15"/>
      <c r="K195" s="336"/>
      <c r="L195" s="207"/>
      <c r="M195" s="207"/>
      <c r="N195" s="207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1"/>
      <c r="AS195" s="32"/>
      <c r="AT195" s="15"/>
      <c r="AU195" s="15"/>
      <c r="AV195" s="15"/>
      <c r="AW195" s="15"/>
      <c r="AX195" s="15"/>
      <c r="AY195" s="188"/>
      <c r="AZ195" s="188"/>
      <c r="BA195" s="188"/>
      <c r="BB195" s="188"/>
      <c r="BC195" s="188"/>
      <c r="BD195" s="188"/>
      <c r="BE195" s="188"/>
      <c r="BF195" s="188"/>
      <c r="BG195" s="188"/>
      <c r="BH195" s="188"/>
      <c r="BI195" s="188"/>
      <c r="BJ195" s="188"/>
      <c r="BK195" s="188"/>
      <c r="BL195" s="188"/>
      <c r="BM195" s="188"/>
      <c r="BN195" s="188"/>
      <c r="BO195" s="188"/>
      <c r="BP195" s="188"/>
      <c r="BQ195" s="188"/>
      <c r="BR195" s="188"/>
      <c r="BS195" s="188"/>
      <c r="BT195" s="189"/>
      <c r="BU195" s="188"/>
      <c r="BV195" s="234"/>
      <c r="BW195" s="234"/>
      <c r="BX195" s="188"/>
      <c r="BY195" s="188"/>
      <c r="BZ195" s="188"/>
      <c r="CA195" s="188"/>
      <c r="CB195" s="188"/>
      <c r="CC195" s="778"/>
      <c r="CD195" s="15"/>
      <c r="CE195" s="15"/>
      <c r="CF195" s="15"/>
      <c r="CG195" s="15"/>
      <c r="CH195" s="241"/>
      <c r="CI195" s="241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419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734"/>
      <c r="DV195" s="734"/>
      <c r="DW195" s="33"/>
      <c r="DX195" s="15"/>
      <c r="DY195" s="734"/>
      <c r="DZ195" s="15"/>
      <c r="EA195" s="734"/>
      <c r="EB195" s="15"/>
      <c r="EC195" s="15"/>
      <c r="ED195" s="15"/>
      <c r="EE195" s="15"/>
      <c r="EF195" s="15"/>
      <c r="EG195" s="734"/>
      <c r="EH195" s="734"/>
      <c r="EI195" s="15"/>
      <c r="EJ195" s="734"/>
      <c r="EK195" s="734"/>
      <c r="EL195" s="734"/>
      <c r="EM195" s="15"/>
      <c r="EN195" s="734"/>
      <c r="EO195" s="734"/>
      <c r="EP195" s="15"/>
      <c r="EQ195" s="734"/>
      <c r="ER195" s="734"/>
      <c r="ES195" s="33"/>
      <c r="ET195" s="734"/>
      <c r="EU195" s="734"/>
      <c r="EV195" s="15"/>
      <c r="EW195" s="734"/>
      <c r="EX195" s="734"/>
      <c r="EY195" s="15"/>
      <c r="EZ195" s="734"/>
      <c r="FA195" s="734"/>
      <c r="FB195" s="15"/>
      <c r="FC195" s="734"/>
      <c r="FD195" s="734"/>
      <c r="FE195" s="15"/>
      <c r="FF195" s="734"/>
      <c r="FG195" s="734"/>
      <c r="FH195" s="15"/>
      <c r="FI195" s="734"/>
      <c r="FJ195" s="734"/>
      <c r="FK195" s="15"/>
      <c r="FL195" s="734"/>
      <c r="FM195" s="734"/>
      <c r="FN195" s="734"/>
      <c r="FO195" s="734"/>
      <c r="FP195" s="734"/>
      <c r="FQ195" s="15"/>
      <c r="FR195" s="734"/>
      <c r="FS195" s="734"/>
      <c r="FT195" s="766"/>
      <c r="FU195" s="766"/>
      <c r="FV195" s="766"/>
      <c r="FW195" s="766"/>
      <c r="GA195" s="758"/>
      <c r="GB195" s="758"/>
      <c r="GD195" s="188"/>
      <c r="GE195" s="825"/>
      <c r="GF195" s="15"/>
      <c r="GG195" s="15"/>
      <c r="GH195" s="15"/>
      <c r="GI195" s="15"/>
      <c r="GJ195" s="15"/>
      <c r="GK195" s="15"/>
      <c r="GL195" s="15"/>
      <c r="GM195" s="15"/>
      <c r="GN195" s="15"/>
      <c r="GO195" s="15"/>
      <c r="GP195" s="15"/>
      <c r="GQ195" s="15"/>
      <c r="GR195" s="15"/>
      <c r="GS195" s="15"/>
      <c r="GT195" s="15"/>
      <c r="GU195" s="15"/>
      <c r="GV195" s="15"/>
      <c r="GW195" s="15"/>
      <c r="GX195" s="15"/>
      <c r="GY195" s="15"/>
      <c r="GZ195" s="896"/>
      <c r="HA195" s="15"/>
      <c r="HB195" s="15"/>
      <c r="HC195" s="15"/>
      <c r="HD195" s="15"/>
      <c r="HE195" s="15"/>
      <c r="HF195" s="15"/>
      <c r="HG195" s="15"/>
      <c r="HH195" s="15"/>
      <c r="HI195" s="15"/>
      <c r="HJ195" s="15"/>
      <c r="HK195" s="15"/>
      <c r="HL195" s="15"/>
      <c r="HM195" s="15"/>
      <c r="HN195" s="15"/>
      <c r="HO195" s="15"/>
      <c r="HP195" s="15"/>
      <c r="HQ195" s="15"/>
      <c r="HR195" s="15"/>
      <c r="HS195" s="15"/>
      <c r="HT195" s="15"/>
      <c r="HU195" s="15"/>
      <c r="HV195" s="15"/>
      <c r="HW195" s="15"/>
      <c r="HX195" s="15"/>
      <c r="HY195" s="15"/>
      <c r="HZ195" s="15"/>
      <c r="IA195" s="15"/>
      <c r="IB195" s="15"/>
      <c r="IC195" s="15"/>
      <c r="ID195" s="15"/>
      <c r="IE195" s="15"/>
      <c r="IF195" s="15"/>
      <c r="IG195" s="15"/>
      <c r="IH195" s="15"/>
      <c r="II195" s="15"/>
      <c r="IJ195" s="15"/>
      <c r="IK195" s="15"/>
      <c r="IL195" s="15"/>
      <c r="IM195" s="15"/>
      <c r="IN195" s="15"/>
      <c r="IO195" s="15"/>
      <c r="IP195" s="15"/>
      <c r="IQ195" s="15"/>
      <c r="IR195" s="15"/>
      <c r="IS195" s="15"/>
      <c r="IT195" s="15"/>
      <c r="IU195" s="15"/>
      <c r="IV195" s="15"/>
      <c r="IW195" s="15"/>
      <c r="IX195" s="15"/>
      <c r="IY195" s="15"/>
      <c r="IZ195" s="15"/>
      <c r="JA195" s="15"/>
      <c r="JB195" s="15"/>
      <c r="JC195" s="15"/>
      <c r="JD195" s="15"/>
      <c r="JE195" s="15"/>
      <c r="JF195" s="15"/>
      <c r="JG195" s="15"/>
    </row>
    <row r="196" spans="1:267" s="45" customFormat="1">
      <c r="A196" s="433"/>
      <c r="B196" s="15"/>
      <c r="C196" s="15"/>
      <c r="D196" s="15"/>
      <c r="E196" s="15"/>
      <c r="F196" s="15"/>
      <c r="G196" s="15"/>
      <c r="H196" s="15"/>
      <c r="I196" s="15"/>
      <c r="J196" s="15"/>
      <c r="K196" s="336"/>
      <c r="L196" s="207"/>
      <c r="M196" s="207"/>
      <c r="N196" s="207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1"/>
      <c r="AS196" s="32"/>
      <c r="AT196" s="15"/>
      <c r="AU196" s="15"/>
      <c r="AV196" s="15"/>
      <c r="AW196" s="15"/>
      <c r="AX196" s="15"/>
      <c r="AY196" s="188"/>
      <c r="AZ196" s="188"/>
      <c r="BA196" s="188"/>
      <c r="BB196" s="188"/>
      <c r="BC196" s="188"/>
      <c r="BD196" s="188"/>
      <c r="BE196" s="188"/>
      <c r="BF196" s="188"/>
      <c r="BG196" s="188"/>
      <c r="BH196" s="188"/>
      <c r="BI196" s="188"/>
      <c r="BJ196" s="188"/>
      <c r="BK196" s="188"/>
      <c r="BL196" s="188"/>
      <c r="BM196" s="188"/>
      <c r="BN196" s="188"/>
      <c r="BO196" s="188"/>
      <c r="BP196" s="188"/>
      <c r="BQ196" s="188"/>
      <c r="BR196" s="188"/>
      <c r="BS196" s="188"/>
      <c r="BT196" s="189"/>
      <c r="BU196" s="188"/>
      <c r="BV196" s="234"/>
      <c r="BW196" s="234"/>
      <c r="BX196" s="188"/>
      <c r="BY196" s="188"/>
      <c r="BZ196" s="188"/>
      <c r="CA196" s="188"/>
      <c r="CB196" s="188"/>
      <c r="CC196" s="778"/>
      <c r="CD196" s="15"/>
      <c r="CE196" s="15"/>
      <c r="CF196" s="15"/>
      <c r="CG196" s="15"/>
      <c r="CH196" s="241"/>
      <c r="CI196" s="241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419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734"/>
      <c r="DV196" s="734"/>
      <c r="DW196" s="33"/>
      <c r="DX196" s="15"/>
      <c r="DY196" s="734"/>
      <c r="DZ196" s="15"/>
      <c r="EA196" s="734"/>
      <c r="EB196" s="15"/>
      <c r="EC196" s="15"/>
      <c r="ED196" s="15"/>
      <c r="EE196" s="15"/>
      <c r="EF196" s="15"/>
      <c r="EG196" s="734"/>
      <c r="EH196" s="734"/>
      <c r="EI196" s="15"/>
      <c r="EJ196" s="734"/>
      <c r="EK196" s="734"/>
      <c r="EL196" s="734"/>
      <c r="EM196" s="15"/>
      <c r="EN196" s="734"/>
      <c r="EO196" s="734"/>
      <c r="EP196" s="15"/>
      <c r="EQ196" s="734"/>
      <c r="ER196" s="734"/>
      <c r="ES196" s="33"/>
      <c r="ET196" s="734"/>
      <c r="EU196" s="734"/>
      <c r="EV196" s="15"/>
      <c r="EW196" s="734"/>
      <c r="EX196" s="734"/>
      <c r="EY196" s="15"/>
      <c r="EZ196" s="734"/>
      <c r="FA196" s="734"/>
      <c r="FB196" s="15"/>
      <c r="FC196" s="734"/>
      <c r="FD196" s="734"/>
      <c r="FE196" s="15"/>
      <c r="FF196" s="734"/>
      <c r="FG196" s="734"/>
      <c r="FH196" s="15"/>
      <c r="FI196" s="734"/>
      <c r="FJ196" s="734"/>
      <c r="FK196" s="15"/>
      <c r="FL196" s="734"/>
      <c r="FM196" s="734"/>
      <c r="FN196" s="734"/>
      <c r="FO196" s="734"/>
      <c r="FP196" s="734"/>
      <c r="FQ196" s="15"/>
      <c r="FR196" s="734"/>
      <c r="FS196" s="734"/>
      <c r="FT196" s="766"/>
      <c r="FU196" s="766"/>
      <c r="FV196" s="766"/>
      <c r="FW196" s="766"/>
      <c r="GA196" s="758"/>
      <c r="GB196" s="758"/>
      <c r="GD196" s="188"/>
      <c r="GE196" s="825"/>
      <c r="GF196" s="15"/>
      <c r="GG196" s="15"/>
      <c r="GH196" s="15"/>
      <c r="GI196" s="15"/>
      <c r="GJ196" s="15"/>
      <c r="GK196" s="15"/>
      <c r="GL196" s="15"/>
      <c r="GM196" s="15"/>
      <c r="GN196" s="15"/>
      <c r="GO196" s="15"/>
      <c r="GP196" s="15"/>
      <c r="GQ196" s="15"/>
      <c r="GR196" s="15"/>
      <c r="GS196" s="15"/>
      <c r="GT196" s="15"/>
      <c r="GU196" s="15"/>
      <c r="GV196" s="15"/>
      <c r="GW196" s="15"/>
      <c r="GX196" s="15"/>
      <c r="GY196" s="15"/>
      <c r="GZ196" s="896"/>
      <c r="HA196" s="15"/>
      <c r="HB196" s="15"/>
      <c r="HC196" s="15"/>
      <c r="HD196" s="15"/>
      <c r="HE196" s="15"/>
      <c r="HF196" s="15"/>
      <c r="HG196" s="15"/>
      <c r="HH196" s="15"/>
      <c r="HI196" s="15"/>
      <c r="HJ196" s="15"/>
      <c r="HK196" s="15"/>
      <c r="HL196" s="15"/>
      <c r="HM196" s="15"/>
      <c r="HN196" s="15"/>
      <c r="HO196" s="15"/>
      <c r="HP196" s="15"/>
      <c r="HQ196" s="15"/>
      <c r="HR196" s="15"/>
      <c r="HS196" s="15"/>
      <c r="HT196" s="15"/>
      <c r="HU196" s="15"/>
      <c r="HV196" s="15"/>
      <c r="HW196" s="15"/>
      <c r="HX196" s="15"/>
      <c r="HY196" s="15"/>
      <c r="HZ196" s="15"/>
      <c r="IA196" s="15"/>
      <c r="IB196" s="15"/>
      <c r="IC196" s="15"/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5"/>
      <c r="IO196" s="15"/>
      <c r="IP196" s="15"/>
      <c r="IQ196" s="15"/>
      <c r="IR196" s="15"/>
      <c r="IS196" s="15"/>
      <c r="IT196" s="15"/>
      <c r="IU196" s="15"/>
      <c r="IV196" s="15"/>
      <c r="IW196" s="15"/>
      <c r="IX196" s="15"/>
      <c r="IY196" s="15"/>
      <c r="IZ196" s="15"/>
      <c r="JA196" s="15"/>
      <c r="JB196" s="15"/>
      <c r="JC196" s="15"/>
      <c r="JD196" s="15"/>
      <c r="JE196" s="15"/>
      <c r="JF196" s="15"/>
      <c r="JG196" s="15"/>
    </row>
    <row r="197" spans="1:267" s="45" customFormat="1">
      <c r="A197" s="435"/>
      <c r="B197" s="156" t="s">
        <v>59</v>
      </c>
      <c r="C197" s="156" t="s">
        <v>60</v>
      </c>
      <c r="D197" s="15"/>
      <c r="E197" s="15"/>
      <c r="F197" s="15"/>
      <c r="G197" s="277"/>
      <c r="H197" s="32"/>
      <c r="I197" s="32"/>
      <c r="J197" s="32"/>
      <c r="K197" s="336"/>
      <c r="L197" s="207"/>
      <c r="M197" s="207"/>
      <c r="N197" s="207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1"/>
      <c r="AS197" s="32"/>
      <c r="AT197" s="15"/>
      <c r="AU197" s="15"/>
      <c r="AV197" s="15"/>
      <c r="AW197" s="15"/>
      <c r="AX197" s="15"/>
      <c r="AY197" s="188"/>
      <c r="AZ197" s="188"/>
      <c r="BA197" s="188"/>
      <c r="BB197" s="188"/>
      <c r="BC197" s="188"/>
      <c r="BD197" s="188"/>
      <c r="BE197" s="188"/>
      <c r="BF197" s="188"/>
      <c r="BG197" s="188"/>
      <c r="BH197" s="188"/>
      <c r="BI197" s="188"/>
      <c r="BJ197" s="188"/>
      <c r="BK197" s="188"/>
      <c r="BL197" s="188"/>
      <c r="BM197" s="188"/>
      <c r="BN197" s="188"/>
      <c r="BO197" s="188"/>
      <c r="BP197" s="188"/>
      <c r="BQ197" s="188"/>
      <c r="BR197" s="188"/>
      <c r="BS197" s="188"/>
      <c r="BT197" s="189"/>
      <c r="BU197" s="188"/>
      <c r="BV197" s="234"/>
      <c r="BW197" s="234"/>
      <c r="BX197" s="188"/>
      <c r="BY197" s="188"/>
      <c r="BZ197" s="188"/>
      <c r="CA197" s="188"/>
      <c r="CB197" s="188"/>
      <c r="CC197" s="778"/>
      <c r="CD197" s="15"/>
      <c r="CE197" s="15"/>
      <c r="CF197" s="15"/>
      <c r="CG197" s="15"/>
      <c r="CH197" s="241"/>
      <c r="CI197" s="241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419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734"/>
      <c r="DV197" s="734"/>
      <c r="DW197" s="33"/>
      <c r="DX197" s="15"/>
      <c r="DY197" s="734"/>
      <c r="DZ197" s="15"/>
      <c r="EA197" s="734"/>
      <c r="EB197" s="15"/>
      <c r="EC197" s="15"/>
      <c r="ED197" s="15"/>
      <c r="EE197" s="15"/>
      <c r="EF197" s="15"/>
      <c r="EG197" s="734"/>
      <c r="EH197" s="734"/>
      <c r="EI197" s="15"/>
      <c r="EJ197" s="734"/>
      <c r="EK197" s="734"/>
      <c r="EL197" s="734"/>
      <c r="EM197" s="15"/>
      <c r="EN197" s="734"/>
      <c r="EO197" s="734"/>
      <c r="EP197" s="15"/>
      <c r="EQ197" s="734"/>
      <c r="ER197" s="734"/>
      <c r="ES197" s="33"/>
      <c r="ET197" s="734"/>
      <c r="EU197" s="734"/>
      <c r="EV197" s="15"/>
      <c r="EW197" s="734"/>
      <c r="EX197" s="734"/>
      <c r="EY197" s="15"/>
      <c r="EZ197" s="734"/>
      <c r="FA197" s="734"/>
      <c r="FB197" s="15"/>
      <c r="FC197" s="734"/>
      <c r="FD197" s="734"/>
      <c r="FE197" s="15"/>
      <c r="FF197" s="734"/>
      <c r="FG197" s="734"/>
      <c r="FH197" s="15"/>
      <c r="FI197" s="734"/>
      <c r="FJ197" s="734"/>
      <c r="FK197" s="15"/>
      <c r="FL197" s="734"/>
      <c r="FM197" s="734"/>
      <c r="FN197" s="734"/>
      <c r="FO197" s="734"/>
      <c r="FP197" s="734"/>
      <c r="FQ197" s="15"/>
      <c r="FR197" s="734"/>
      <c r="FS197" s="734"/>
      <c r="FT197" s="766"/>
      <c r="FU197" s="766"/>
      <c r="FV197" s="766"/>
      <c r="FW197" s="766"/>
      <c r="GA197" s="758"/>
      <c r="GB197" s="758"/>
      <c r="GD197" s="188"/>
      <c r="GE197" s="825"/>
      <c r="GF197" s="15"/>
      <c r="GG197" s="15"/>
      <c r="GH197" s="15"/>
      <c r="GI197" s="15"/>
      <c r="GJ197" s="15"/>
      <c r="GK197" s="15"/>
      <c r="GL197" s="15"/>
      <c r="GM197" s="15"/>
      <c r="GN197" s="15"/>
      <c r="GO197" s="15"/>
      <c r="GP197" s="15"/>
      <c r="GQ197" s="15"/>
      <c r="GR197" s="15"/>
      <c r="GS197" s="15"/>
      <c r="GT197" s="15"/>
      <c r="GU197" s="15"/>
      <c r="GV197" s="15"/>
      <c r="GW197" s="15"/>
      <c r="GX197" s="15"/>
      <c r="GY197" s="15"/>
      <c r="GZ197" s="896"/>
      <c r="HA197" s="15"/>
      <c r="HB197" s="15"/>
      <c r="HC197" s="15"/>
      <c r="HD197" s="15"/>
      <c r="HE197" s="15"/>
      <c r="HF197" s="15"/>
      <c r="HG197" s="15"/>
      <c r="HH197" s="15"/>
      <c r="HI197" s="15"/>
      <c r="HJ197" s="15"/>
      <c r="HK197" s="15"/>
      <c r="HL197" s="15"/>
      <c r="HM197" s="15"/>
      <c r="HN197" s="15"/>
      <c r="HO197" s="15"/>
      <c r="HP197" s="15"/>
      <c r="HQ197" s="15"/>
      <c r="HR197" s="15"/>
      <c r="HS197" s="15"/>
      <c r="HT197" s="15"/>
      <c r="HU197" s="15"/>
      <c r="HV197" s="15"/>
      <c r="HW197" s="15"/>
      <c r="HX197" s="15"/>
      <c r="HY197" s="15"/>
      <c r="HZ197" s="15"/>
      <c r="IA197" s="15"/>
      <c r="IB197" s="15"/>
      <c r="IC197" s="15"/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5"/>
      <c r="IO197" s="15"/>
      <c r="IP197" s="15"/>
      <c r="IQ197" s="15"/>
      <c r="IR197" s="15"/>
      <c r="IS197" s="15"/>
      <c r="IT197" s="15"/>
      <c r="IU197" s="15"/>
      <c r="IV197" s="15"/>
      <c r="IW197" s="15"/>
      <c r="IX197" s="15"/>
      <c r="IY197" s="15"/>
      <c r="IZ197" s="15"/>
      <c r="JA197" s="15"/>
      <c r="JB197" s="15"/>
      <c r="JC197" s="15"/>
      <c r="JD197" s="15"/>
      <c r="JE197" s="15"/>
      <c r="JF197" s="15"/>
      <c r="JG197" s="15"/>
    </row>
    <row r="198" spans="1:267" s="45" customFormat="1">
      <c r="A198" s="435" t="s">
        <v>46</v>
      </c>
      <c r="B198" s="15">
        <f>COUNTIF(Ville,"*Entre-Deux*")</f>
        <v>6</v>
      </c>
      <c r="C198" s="15">
        <f t="shared" ref="C198:C207" si="473">SUMPRODUCT((Ville=A198)*(Nlgts))</f>
        <v>127</v>
      </c>
      <c r="D198" s="15"/>
      <c r="E198" s="15"/>
      <c r="F198" s="15"/>
      <c r="G198" s="277"/>
      <c r="H198" s="32"/>
      <c r="I198" s="32"/>
      <c r="J198" s="32"/>
      <c r="K198" s="336"/>
      <c r="L198" s="207"/>
      <c r="M198" s="207"/>
      <c r="N198" s="207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1"/>
      <c r="AS198" s="32"/>
      <c r="AT198" s="15"/>
      <c r="AU198" s="15"/>
      <c r="AV198" s="15"/>
      <c r="AW198" s="15"/>
      <c r="AX198" s="15"/>
      <c r="AY198" s="188"/>
      <c r="AZ198" s="188"/>
      <c r="BA198" s="188"/>
      <c r="BB198" s="188"/>
      <c r="BC198" s="188"/>
      <c r="BD198" s="188"/>
      <c r="BE198" s="188"/>
      <c r="BF198" s="188"/>
      <c r="BG198" s="188"/>
      <c r="BH198" s="188"/>
      <c r="BI198" s="188"/>
      <c r="BJ198" s="188"/>
      <c r="BK198" s="188"/>
      <c r="BL198" s="188"/>
      <c r="BM198" s="188"/>
      <c r="BN198" s="188"/>
      <c r="BO198" s="188"/>
      <c r="BP198" s="188"/>
      <c r="BQ198" s="188"/>
      <c r="BR198" s="188"/>
      <c r="BS198" s="188"/>
      <c r="BT198" s="189"/>
      <c r="BU198" s="188"/>
      <c r="BV198" s="234"/>
      <c r="BW198" s="234"/>
      <c r="BX198" s="188"/>
      <c r="BY198" s="188"/>
      <c r="BZ198" s="188"/>
      <c r="CA198" s="188"/>
      <c r="CB198" s="188"/>
      <c r="CC198" s="778"/>
      <c r="CD198" s="15"/>
      <c r="CE198" s="15"/>
      <c r="CF198" s="15"/>
      <c r="CG198" s="15"/>
      <c r="CH198" s="241"/>
      <c r="CI198" s="241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419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734"/>
      <c r="DV198" s="734"/>
      <c r="DW198" s="33"/>
      <c r="DX198" s="15"/>
      <c r="DY198" s="734"/>
      <c r="DZ198" s="15"/>
      <c r="EA198" s="734"/>
      <c r="EB198" s="15"/>
      <c r="EC198" s="15"/>
      <c r="ED198" s="15"/>
      <c r="EE198" s="15"/>
      <c r="EF198" s="15"/>
      <c r="EG198" s="734"/>
      <c r="EH198" s="734"/>
      <c r="EI198" s="15"/>
      <c r="EJ198" s="734"/>
      <c r="EK198" s="734"/>
      <c r="EL198" s="734"/>
      <c r="EM198" s="15"/>
      <c r="EN198" s="734"/>
      <c r="EO198" s="734"/>
      <c r="EP198" s="15"/>
      <c r="EQ198" s="734"/>
      <c r="ER198" s="734"/>
      <c r="ES198" s="33"/>
      <c r="ET198" s="734"/>
      <c r="EU198" s="734"/>
      <c r="EV198" s="15"/>
      <c r="EW198" s="734"/>
      <c r="EX198" s="734"/>
      <c r="EY198" s="15"/>
      <c r="EZ198" s="734"/>
      <c r="FA198" s="734"/>
      <c r="FB198" s="15"/>
      <c r="FC198" s="734"/>
      <c r="FD198" s="734"/>
      <c r="FE198" s="15"/>
      <c r="FF198" s="734"/>
      <c r="FG198" s="734"/>
      <c r="FH198" s="15"/>
      <c r="FI198" s="734"/>
      <c r="FJ198" s="734"/>
      <c r="FK198" s="15"/>
      <c r="FL198" s="734"/>
      <c r="FM198" s="734"/>
      <c r="FN198" s="734"/>
      <c r="FO198" s="734"/>
      <c r="FP198" s="734"/>
      <c r="FQ198" s="15"/>
      <c r="FR198" s="734"/>
      <c r="FS198" s="734"/>
      <c r="FT198" s="766"/>
      <c r="FU198" s="766"/>
      <c r="FV198" s="766"/>
      <c r="FW198" s="766"/>
      <c r="GA198" s="758"/>
      <c r="GB198" s="758"/>
      <c r="GD198" s="188"/>
      <c r="GE198" s="825"/>
      <c r="GF198" s="15"/>
      <c r="GG198" s="15"/>
      <c r="GH198" s="15"/>
      <c r="GI198" s="15"/>
      <c r="GJ198" s="15"/>
      <c r="GK198" s="15"/>
      <c r="GL198" s="15"/>
      <c r="GM198" s="15"/>
      <c r="GN198" s="15"/>
      <c r="GO198" s="15"/>
      <c r="GP198" s="15"/>
      <c r="GQ198" s="15"/>
      <c r="GR198" s="15"/>
      <c r="GS198" s="15"/>
      <c r="GT198" s="15"/>
      <c r="GU198" s="15"/>
      <c r="GV198" s="15"/>
      <c r="GW198" s="15"/>
      <c r="GX198" s="15"/>
      <c r="GY198" s="15"/>
      <c r="GZ198" s="896"/>
      <c r="HA198" s="15"/>
      <c r="HB198" s="15"/>
      <c r="HC198" s="15"/>
      <c r="HD198" s="15"/>
      <c r="HE198" s="15"/>
      <c r="HF198" s="15"/>
      <c r="HG198" s="15"/>
      <c r="HH198" s="15"/>
      <c r="HI198" s="15"/>
      <c r="HJ198" s="15"/>
      <c r="HK198" s="15"/>
      <c r="HL198" s="15"/>
      <c r="HM198" s="15"/>
      <c r="HN198" s="15"/>
      <c r="HO198" s="15"/>
      <c r="HP198" s="15"/>
      <c r="HQ198" s="15"/>
      <c r="HR198" s="15"/>
      <c r="HS198" s="15"/>
      <c r="HT198" s="15"/>
      <c r="HU198" s="15"/>
      <c r="HV198" s="15"/>
      <c r="HW198" s="15"/>
      <c r="HX198" s="15"/>
      <c r="HY198" s="15"/>
      <c r="HZ198" s="15"/>
      <c r="IA198" s="15"/>
      <c r="IB198" s="15"/>
      <c r="IC198" s="15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5"/>
      <c r="IY198" s="15"/>
      <c r="IZ198" s="15"/>
      <c r="JA198" s="15"/>
      <c r="JB198" s="15"/>
      <c r="JC198" s="15"/>
      <c r="JD198" s="15"/>
      <c r="JE198" s="15"/>
      <c r="JF198" s="15"/>
      <c r="JG198" s="15"/>
    </row>
    <row r="199" spans="1:267" s="45" customFormat="1">
      <c r="A199" s="435" t="s">
        <v>40</v>
      </c>
      <c r="B199" s="15">
        <f>COUNTIF(Ville,"*Etang-Salé*")</f>
        <v>9</v>
      </c>
      <c r="C199" s="15">
        <f t="shared" si="473"/>
        <v>197</v>
      </c>
      <c r="D199" s="15"/>
      <c r="E199" s="15"/>
      <c r="F199" s="15"/>
      <c r="G199" s="15"/>
      <c r="H199" s="15"/>
      <c r="I199" s="15"/>
      <c r="J199" s="15"/>
      <c r="K199" s="336"/>
      <c r="L199" s="207"/>
      <c r="M199" s="207"/>
      <c r="N199" s="207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1"/>
      <c r="AS199" s="32"/>
      <c r="AT199" s="15"/>
      <c r="AU199" s="15"/>
      <c r="AV199" s="15"/>
      <c r="AW199" s="15"/>
      <c r="AX199" s="15"/>
      <c r="AY199" s="188"/>
      <c r="AZ199" s="188"/>
      <c r="BA199" s="188"/>
      <c r="BB199" s="188"/>
      <c r="BC199" s="188"/>
      <c r="BD199" s="188"/>
      <c r="BE199" s="188"/>
      <c r="BF199" s="188"/>
      <c r="BG199" s="188"/>
      <c r="BH199" s="188"/>
      <c r="BI199" s="188"/>
      <c r="BJ199" s="188"/>
      <c r="BK199" s="188"/>
      <c r="BL199" s="188"/>
      <c r="BM199" s="188"/>
      <c r="BN199" s="188"/>
      <c r="BO199" s="188"/>
      <c r="BP199" s="188"/>
      <c r="BQ199" s="188"/>
      <c r="BR199" s="188"/>
      <c r="BS199" s="188"/>
      <c r="BT199" s="189"/>
      <c r="BU199" s="188"/>
      <c r="BV199" s="234"/>
      <c r="BW199" s="234"/>
      <c r="BX199" s="188"/>
      <c r="BY199" s="188"/>
      <c r="BZ199" s="188"/>
      <c r="CA199" s="188"/>
      <c r="CB199" s="188"/>
      <c r="CC199" s="778"/>
      <c r="CD199" s="15"/>
      <c r="CE199" s="15"/>
      <c r="CF199" s="15"/>
      <c r="CG199" s="15"/>
      <c r="CH199" s="241"/>
      <c r="CI199" s="241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419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734"/>
      <c r="DV199" s="734"/>
      <c r="DW199" s="33"/>
      <c r="DX199" s="15"/>
      <c r="DY199" s="734"/>
      <c r="DZ199" s="15"/>
      <c r="EA199" s="734"/>
      <c r="EB199" s="15"/>
      <c r="EC199" s="15"/>
      <c r="ED199" s="15"/>
      <c r="EE199" s="15"/>
      <c r="EF199" s="15"/>
      <c r="EG199" s="734"/>
      <c r="EH199" s="734"/>
      <c r="EI199" s="15"/>
      <c r="EJ199" s="734"/>
      <c r="EK199" s="734"/>
      <c r="EL199" s="734"/>
      <c r="EM199" s="15"/>
      <c r="EN199" s="734"/>
      <c r="EO199" s="734"/>
      <c r="EP199" s="15"/>
      <c r="EQ199" s="734"/>
      <c r="ER199" s="734"/>
      <c r="ES199" s="33"/>
      <c r="ET199" s="734"/>
      <c r="EU199" s="734"/>
      <c r="EV199" s="15"/>
      <c r="EW199" s="734"/>
      <c r="EX199" s="734"/>
      <c r="EY199" s="15"/>
      <c r="EZ199" s="734"/>
      <c r="FA199" s="734"/>
      <c r="FB199" s="15"/>
      <c r="FC199" s="734"/>
      <c r="FD199" s="734"/>
      <c r="FE199" s="15"/>
      <c r="FF199" s="734"/>
      <c r="FG199" s="734"/>
      <c r="FH199" s="15"/>
      <c r="FI199" s="734"/>
      <c r="FJ199" s="734"/>
      <c r="FK199" s="15"/>
      <c r="FL199" s="734"/>
      <c r="FM199" s="734"/>
      <c r="FN199" s="734"/>
      <c r="FO199" s="734"/>
      <c r="FP199" s="734"/>
      <c r="FQ199" s="15"/>
      <c r="FR199" s="734"/>
      <c r="FS199" s="734"/>
      <c r="FT199" s="766"/>
      <c r="FU199" s="766"/>
      <c r="FV199" s="766"/>
      <c r="FW199" s="766"/>
      <c r="GA199" s="758"/>
      <c r="GB199" s="758"/>
      <c r="GD199" s="188"/>
      <c r="GE199" s="825"/>
      <c r="GF199" s="15"/>
      <c r="GG199" s="15"/>
      <c r="GH199" s="15"/>
      <c r="GI199" s="15"/>
      <c r="GJ199" s="15"/>
      <c r="GK199" s="15"/>
      <c r="GL199" s="15"/>
      <c r="GM199" s="15"/>
      <c r="GN199" s="15"/>
      <c r="GO199" s="15"/>
      <c r="GP199" s="15"/>
      <c r="GQ199" s="15"/>
      <c r="GR199" s="15"/>
      <c r="GS199" s="15"/>
      <c r="GT199" s="15"/>
      <c r="GU199" s="15"/>
      <c r="GV199" s="15"/>
      <c r="GW199" s="15"/>
      <c r="GX199" s="15"/>
      <c r="GY199" s="15"/>
      <c r="GZ199" s="896"/>
      <c r="HA199" s="15"/>
      <c r="HB199" s="15"/>
      <c r="HC199" s="15"/>
      <c r="HD199" s="15"/>
      <c r="HE199" s="15"/>
      <c r="HF199" s="15"/>
      <c r="HG199" s="15"/>
      <c r="HH199" s="15"/>
      <c r="HI199" s="15"/>
      <c r="HJ199" s="15"/>
      <c r="HK199" s="15"/>
      <c r="HL199" s="15"/>
      <c r="HM199" s="15"/>
      <c r="HN199" s="15"/>
      <c r="HO199" s="15"/>
      <c r="HP199" s="15"/>
      <c r="HQ199" s="15"/>
      <c r="HR199" s="15"/>
      <c r="HS199" s="15"/>
      <c r="HT199" s="15"/>
      <c r="HU199" s="15"/>
      <c r="HV199" s="15"/>
      <c r="HW199" s="15"/>
      <c r="HX199" s="15"/>
      <c r="HY199" s="15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5"/>
      <c r="IY199" s="15"/>
      <c r="IZ199" s="15"/>
      <c r="JA199" s="15"/>
      <c r="JB199" s="15"/>
      <c r="JC199" s="15"/>
      <c r="JD199" s="15"/>
      <c r="JE199" s="15"/>
      <c r="JF199" s="15"/>
      <c r="JG199" s="15"/>
    </row>
    <row r="200" spans="1:267" s="45" customFormat="1">
      <c r="A200" s="435" t="s">
        <v>82</v>
      </c>
      <c r="B200" s="15">
        <f>COUNTIF(Ville,"*Petite-Ile*")</f>
        <v>5</v>
      </c>
      <c r="C200" s="15">
        <f t="shared" si="473"/>
        <v>108</v>
      </c>
      <c r="D200" s="15"/>
      <c r="E200" s="15"/>
      <c r="F200" s="15"/>
      <c r="G200" s="15"/>
      <c r="H200" s="15"/>
      <c r="I200" s="15"/>
      <c r="J200" s="15"/>
      <c r="K200" s="336"/>
      <c r="L200" s="207"/>
      <c r="M200" s="207"/>
      <c r="N200" s="207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1"/>
      <c r="AS200" s="32"/>
      <c r="AT200" s="15"/>
      <c r="AU200" s="15"/>
      <c r="AV200" s="15"/>
      <c r="AW200" s="15"/>
      <c r="AX200" s="15"/>
      <c r="AY200" s="188"/>
      <c r="AZ200" s="188"/>
      <c r="BA200" s="188"/>
      <c r="BB200" s="188"/>
      <c r="BC200" s="188"/>
      <c r="BD200" s="188"/>
      <c r="BE200" s="188"/>
      <c r="BF200" s="188"/>
      <c r="BG200" s="188"/>
      <c r="BH200" s="188"/>
      <c r="BI200" s="188"/>
      <c r="BJ200" s="188"/>
      <c r="BK200" s="188"/>
      <c r="BL200" s="188"/>
      <c r="BM200" s="188"/>
      <c r="BN200" s="188"/>
      <c r="BO200" s="188"/>
      <c r="BP200" s="188"/>
      <c r="BQ200" s="188"/>
      <c r="BR200" s="188"/>
      <c r="BS200" s="188"/>
      <c r="BT200" s="189"/>
      <c r="BU200" s="188"/>
      <c r="BV200" s="234"/>
      <c r="BW200" s="234"/>
      <c r="BX200" s="188"/>
      <c r="BY200" s="188"/>
      <c r="BZ200" s="188"/>
      <c r="CA200" s="188"/>
      <c r="CB200" s="188"/>
      <c r="CC200" s="778"/>
      <c r="CD200" s="15"/>
      <c r="CE200" s="15"/>
      <c r="CF200" s="15"/>
      <c r="CG200" s="15"/>
      <c r="CH200" s="241"/>
      <c r="CI200" s="241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419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734"/>
      <c r="DV200" s="734"/>
      <c r="DW200" s="33"/>
      <c r="DX200" s="15"/>
      <c r="DY200" s="734"/>
      <c r="DZ200" s="15"/>
      <c r="EA200" s="734"/>
      <c r="EB200" s="15"/>
      <c r="EC200" s="15"/>
      <c r="ED200" s="15"/>
      <c r="EE200" s="15"/>
      <c r="EF200" s="15"/>
      <c r="EG200" s="734"/>
      <c r="EH200" s="734"/>
      <c r="EI200" s="15"/>
      <c r="EJ200" s="734"/>
      <c r="EK200" s="734"/>
      <c r="EL200" s="734"/>
      <c r="EM200" s="15"/>
      <c r="EN200" s="734"/>
      <c r="EO200" s="734"/>
      <c r="EP200" s="15"/>
      <c r="EQ200" s="734"/>
      <c r="ER200" s="734"/>
      <c r="ES200" s="33"/>
      <c r="ET200" s="734"/>
      <c r="EU200" s="734"/>
      <c r="EV200" s="15"/>
      <c r="EW200" s="734"/>
      <c r="EX200" s="734"/>
      <c r="EY200" s="15"/>
      <c r="EZ200" s="734"/>
      <c r="FA200" s="734"/>
      <c r="FB200" s="15"/>
      <c r="FC200" s="734"/>
      <c r="FD200" s="734"/>
      <c r="FE200" s="15"/>
      <c r="FF200" s="734"/>
      <c r="FG200" s="734"/>
      <c r="FH200" s="15"/>
      <c r="FI200" s="734"/>
      <c r="FJ200" s="734"/>
      <c r="FK200" s="15"/>
      <c r="FL200" s="734"/>
      <c r="FM200" s="734"/>
      <c r="FN200" s="734"/>
      <c r="FO200" s="734"/>
      <c r="FP200" s="734"/>
      <c r="FQ200" s="15"/>
      <c r="FR200" s="734"/>
      <c r="FS200" s="734"/>
      <c r="FT200" s="766"/>
      <c r="FU200" s="766"/>
      <c r="FV200" s="766"/>
      <c r="FW200" s="766"/>
      <c r="GA200" s="758"/>
      <c r="GB200" s="758"/>
      <c r="GD200" s="188"/>
      <c r="GE200" s="825"/>
      <c r="GF200" s="15"/>
      <c r="GG200" s="15"/>
      <c r="GH200" s="15"/>
      <c r="GI200" s="15"/>
      <c r="GJ200" s="15"/>
      <c r="GK200" s="15"/>
      <c r="GL200" s="15"/>
      <c r="GM200" s="15"/>
      <c r="GN200" s="15"/>
      <c r="GO200" s="15"/>
      <c r="GP200" s="15"/>
      <c r="GQ200" s="15"/>
      <c r="GR200" s="15"/>
      <c r="GS200" s="15"/>
      <c r="GT200" s="15"/>
      <c r="GU200" s="15"/>
      <c r="GV200" s="15"/>
      <c r="GW200" s="15"/>
      <c r="GX200" s="15"/>
      <c r="GY200" s="15"/>
      <c r="GZ200" s="896"/>
      <c r="HA200" s="15"/>
      <c r="HB200" s="15"/>
      <c r="HC200" s="15"/>
      <c r="HD200" s="15"/>
      <c r="HE200" s="15"/>
      <c r="HF200" s="15"/>
      <c r="HG200" s="15"/>
      <c r="HH200" s="15"/>
      <c r="HI200" s="15"/>
      <c r="HJ200" s="15"/>
      <c r="HK200" s="15"/>
      <c r="HL200" s="15"/>
      <c r="HM200" s="15"/>
      <c r="HN200" s="15"/>
      <c r="HO200" s="15"/>
      <c r="HP200" s="15"/>
      <c r="HQ200" s="15"/>
      <c r="HR200" s="15"/>
      <c r="HS200" s="15"/>
      <c r="HT200" s="15"/>
      <c r="HU200" s="15"/>
      <c r="HV200" s="15"/>
      <c r="HW200" s="15"/>
      <c r="HX200" s="15"/>
      <c r="HY200" s="15"/>
      <c r="HZ200" s="15"/>
      <c r="IA200" s="15"/>
      <c r="IB200" s="15"/>
      <c r="IC200" s="15"/>
      <c r="ID200" s="15"/>
      <c r="IE200" s="15"/>
      <c r="IF200" s="15"/>
      <c r="IG200" s="15"/>
      <c r="IH200" s="15"/>
      <c r="II200" s="15"/>
      <c r="IJ200" s="15"/>
      <c r="IK200" s="15"/>
      <c r="IL200" s="15"/>
      <c r="IM200" s="15"/>
      <c r="IN200" s="15"/>
      <c r="IO200" s="15"/>
      <c r="IP200" s="15"/>
      <c r="IQ200" s="15"/>
      <c r="IR200" s="15"/>
      <c r="IS200" s="15"/>
      <c r="IT200" s="15"/>
      <c r="IU200" s="15"/>
      <c r="IV200" s="15"/>
      <c r="IW200" s="15"/>
      <c r="IX200" s="15"/>
      <c r="IY200" s="15"/>
      <c r="IZ200" s="15"/>
      <c r="JA200" s="15"/>
      <c r="JB200" s="15"/>
      <c r="JC200" s="15"/>
      <c r="JD200" s="15"/>
      <c r="JE200" s="15"/>
      <c r="JF200" s="15"/>
      <c r="JG200" s="15"/>
    </row>
    <row r="201" spans="1:267" s="45" customFormat="1">
      <c r="A201" s="435" t="s">
        <v>28</v>
      </c>
      <c r="B201" s="15">
        <f>COUNTIF(Ville,"*St Joseph*")</f>
        <v>17</v>
      </c>
      <c r="C201" s="15">
        <f t="shared" si="473"/>
        <v>451</v>
      </c>
      <c r="D201" s="15"/>
      <c r="E201" s="15"/>
      <c r="F201" s="15"/>
      <c r="G201" s="15"/>
      <c r="H201" s="15"/>
      <c r="I201" s="15"/>
      <c r="J201" s="15"/>
      <c r="K201" s="336"/>
      <c r="L201" s="207"/>
      <c r="M201" s="207"/>
      <c r="N201" s="207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1"/>
      <c r="AS201" s="32"/>
      <c r="AT201" s="15"/>
      <c r="AU201" s="15"/>
      <c r="AV201" s="15"/>
      <c r="AW201" s="15"/>
      <c r="AX201" s="15"/>
      <c r="AY201" s="188"/>
      <c r="AZ201" s="188"/>
      <c r="BA201" s="188"/>
      <c r="BB201" s="188"/>
      <c r="BC201" s="188"/>
      <c r="BD201" s="188"/>
      <c r="BE201" s="188"/>
      <c r="BF201" s="188"/>
      <c r="BG201" s="188"/>
      <c r="BH201" s="188"/>
      <c r="BI201" s="188"/>
      <c r="BJ201" s="188"/>
      <c r="BK201" s="188"/>
      <c r="BL201" s="188"/>
      <c r="BM201" s="188"/>
      <c r="BN201" s="188"/>
      <c r="BO201" s="188"/>
      <c r="BP201" s="188"/>
      <c r="BQ201" s="188"/>
      <c r="BR201" s="188"/>
      <c r="BS201" s="188"/>
      <c r="BT201" s="189"/>
      <c r="BU201" s="188"/>
      <c r="BV201" s="234"/>
      <c r="BW201" s="234"/>
      <c r="BX201" s="188"/>
      <c r="BY201" s="188"/>
      <c r="BZ201" s="188"/>
      <c r="CA201" s="188"/>
      <c r="CB201" s="188"/>
      <c r="CC201" s="778"/>
      <c r="CD201" s="15"/>
      <c r="CE201" s="15"/>
      <c r="CF201" s="15"/>
      <c r="CG201" s="15"/>
      <c r="CH201" s="241"/>
      <c r="CI201" s="241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419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734"/>
      <c r="DV201" s="734"/>
      <c r="DW201" s="33"/>
      <c r="DX201" s="15"/>
      <c r="DY201" s="734"/>
      <c r="DZ201" s="15"/>
      <c r="EA201" s="734"/>
      <c r="EB201" s="15"/>
      <c r="EC201" s="15"/>
      <c r="ED201" s="15"/>
      <c r="EE201" s="15"/>
      <c r="EF201" s="15"/>
      <c r="EG201" s="734"/>
      <c r="EH201" s="734"/>
      <c r="EI201" s="15"/>
      <c r="EJ201" s="734"/>
      <c r="EK201" s="734"/>
      <c r="EL201" s="734"/>
      <c r="EM201" s="15"/>
      <c r="EN201" s="734"/>
      <c r="EO201" s="734"/>
      <c r="EP201" s="15"/>
      <c r="EQ201" s="734"/>
      <c r="ER201" s="734"/>
      <c r="ES201" s="33"/>
      <c r="ET201" s="734"/>
      <c r="EU201" s="734"/>
      <c r="EV201" s="15"/>
      <c r="EW201" s="734"/>
      <c r="EX201" s="734"/>
      <c r="EY201" s="15"/>
      <c r="EZ201" s="734"/>
      <c r="FA201" s="734"/>
      <c r="FB201" s="15"/>
      <c r="FC201" s="734"/>
      <c r="FD201" s="734"/>
      <c r="FE201" s="15"/>
      <c r="FF201" s="734"/>
      <c r="FG201" s="734"/>
      <c r="FH201" s="15"/>
      <c r="FI201" s="734"/>
      <c r="FJ201" s="734"/>
      <c r="FK201" s="15"/>
      <c r="FL201" s="734"/>
      <c r="FM201" s="734"/>
      <c r="FN201" s="734"/>
      <c r="FO201" s="734"/>
      <c r="FP201" s="734"/>
      <c r="FQ201" s="15"/>
      <c r="FR201" s="734"/>
      <c r="FS201" s="734"/>
      <c r="FT201" s="766"/>
      <c r="FU201" s="766"/>
      <c r="FV201" s="766"/>
      <c r="FW201" s="766"/>
      <c r="GA201" s="758"/>
      <c r="GB201" s="758"/>
      <c r="GD201" s="188"/>
      <c r="GE201" s="825"/>
      <c r="GF201" s="15"/>
      <c r="GG201" s="15"/>
      <c r="GH201" s="15"/>
      <c r="GI201" s="15"/>
      <c r="GJ201" s="15"/>
      <c r="GK201" s="15"/>
      <c r="GL201" s="15"/>
      <c r="GM201" s="15"/>
      <c r="GN201" s="15"/>
      <c r="GO201" s="15"/>
      <c r="GP201" s="15"/>
      <c r="GQ201" s="15"/>
      <c r="GR201" s="15"/>
      <c r="GS201" s="15"/>
      <c r="GT201" s="15"/>
      <c r="GU201" s="15"/>
      <c r="GV201" s="15"/>
      <c r="GW201" s="15"/>
      <c r="GX201" s="15"/>
      <c r="GY201" s="15"/>
      <c r="GZ201" s="896"/>
      <c r="HA201" s="15"/>
      <c r="HB201" s="15"/>
      <c r="HC201" s="15"/>
      <c r="HD201" s="15"/>
      <c r="HE201" s="15"/>
      <c r="HF201" s="15"/>
      <c r="HG201" s="15"/>
      <c r="HH201" s="15"/>
      <c r="HI201" s="15"/>
      <c r="HJ201" s="15"/>
      <c r="HK201" s="15"/>
      <c r="HL201" s="15"/>
      <c r="HM201" s="15"/>
      <c r="HN201" s="15"/>
      <c r="HO201" s="15"/>
      <c r="HP201" s="15"/>
      <c r="HQ201" s="15"/>
      <c r="HR201" s="15"/>
      <c r="HS201" s="15"/>
      <c r="HT201" s="15"/>
      <c r="HU201" s="15"/>
      <c r="HV201" s="15"/>
      <c r="HW201" s="15"/>
      <c r="HX201" s="15"/>
      <c r="HY201" s="15"/>
      <c r="HZ201" s="15"/>
      <c r="IA201" s="15"/>
      <c r="IB201" s="15"/>
      <c r="IC201" s="15"/>
      <c r="ID201" s="15"/>
      <c r="IE201" s="15"/>
      <c r="IF201" s="15"/>
      <c r="IG201" s="15"/>
      <c r="IH201" s="15"/>
      <c r="II201" s="15"/>
      <c r="IJ201" s="15"/>
      <c r="IK201" s="15"/>
      <c r="IL201" s="15"/>
      <c r="IM201" s="15"/>
      <c r="IN201" s="15"/>
      <c r="IO201" s="15"/>
      <c r="IP201" s="15"/>
      <c r="IQ201" s="15"/>
      <c r="IR201" s="15"/>
      <c r="IS201" s="15"/>
      <c r="IT201" s="15"/>
      <c r="IU201" s="15"/>
      <c r="IV201" s="15"/>
      <c r="IW201" s="15"/>
      <c r="IX201" s="15"/>
      <c r="IY201" s="15"/>
      <c r="IZ201" s="15"/>
      <c r="JA201" s="15"/>
      <c r="JB201" s="15"/>
      <c r="JC201" s="15"/>
      <c r="JD201" s="15"/>
      <c r="JE201" s="15"/>
      <c r="JF201" s="15"/>
      <c r="JG201" s="15"/>
    </row>
    <row r="202" spans="1:267" s="45" customFormat="1">
      <c r="A202" s="435" t="s">
        <v>34</v>
      </c>
      <c r="B202" s="15">
        <f>COUNTIF(Ville,"*St Leu*")</f>
        <v>12</v>
      </c>
      <c r="C202" s="15">
        <f t="shared" si="473"/>
        <v>330</v>
      </c>
      <c r="D202" s="15"/>
      <c r="E202" s="15"/>
      <c r="F202" s="15"/>
      <c r="G202" s="15"/>
      <c r="H202" s="15"/>
      <c r="I202" s="15"/>
      <c r="J202" s="15"/>
      <c r="K202" s="336"/>
      <c r="L202" s="207"/>
      <c r="M202" s="207"/>
      <c r="N202" s="207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1"/>
      <c r="AS202" s="32"/>
      <c r="AT202" s="15"/>
      <c r="AU202" s="15"/>
      <c r="AV202" s="15"/>
      <c r="AW202" s="15"/>
      <c r="AX202" s="15"/>
      <c r="AY202" s="188"/>
      <c r="AZ202" s="188"/>
      <c r="BA202" s="188"/>
      <c r="BB202" s="188"/>
      <c r="BC202" s="188"/>
      <c r="BD202" s="188"/>
      <c r="BE202" s="188"/>
      <c r="BF202" s="188"/>
      <c r="BG202" s="188"/>
      <c r="BH202" s="188"/>
      <c r="BI202" s="188"/>
      <c r="BJ202" s="188"/>
      <c r="BK202" s="188"/>
      <c r="BL202" s="188"/>
      <c r="BM202" s="188"/>
      <c r="BN202" s="188"/>
      <c r="BO202" s="188"/>
      <c r="BP202" s="188"/>
      <c r="BQ202" s="188"/>
      <c r="BR202" s="188"/>
      <c r="BS202" s="188"/>
      <c r="BT202" s="189"/>
      <c r="BU202" s="188"/>
      <c r="BV202" s="234"/>
      <c r="BW202" s="234"/>
      <c r="BX202" s="188"/>
      <c r="BY202" s="188"/>
      <c r="BZ202" s="188"/>
      <c r="CA202" s="188"/>
      <c r="CB202" s="188"/>
      <c r="CC202" s="778"/>
      <c r="CD202" s="15"/>
      <c r="CE202" s="15"/>
      <c r="CF202" s="15"/>
      <c r="CG202" s="15"/>
      <c r="CH202" s="241"/>
      <c r="CI202" s="241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419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734"/>
      <c r="DV202" s="734"/>
      <c r="DW202" s="33"/>
      <c r="DX202" s="15"/>
      <c r="DY202" s="734"/>
      <c r="DZ202" s="15"/>
      <c r="EA202" s="734"/>
      <c r="EB202" s="15"/>
      <c r="EC202" s="15"/>
      <c r="ED202" s="15"/>
      <c r="EE202" s="15"/>
      <c r="EF202" s="15"/>
      <c r="EG202" s="734"/>
      <c r="EH202" s="734"/>
      <c r="EI202" s="15"/>
      <c r="EJ202" s="734"/>
      <c r="EK202" s="734"/>
      <c r="EL202" s="734"/>
      <c r="EM202" s="15"/>
      <c r="EN202" s="734"/>
      <c r="EO202" s="734"/>
      <c r="EP202" s="15"/>
      <c r="EQ202" s="734"/>
      <c r="ER202" s="734"/>
      <c r="ES202" s="33"/>
      <c r="ET202" s="734"/>
      <c r="EU202" s="734"/>
      <c r="EV202" s="15"/>
      <c r="EW202" s="734"/>
      <c r="EX202" s="734"/>
      <c r="EY202" s="15"/>
      <c r="EZ202" s="734"/>
      <c r="FA202" s="734"/>
      <c r="FB202" s="15"/>
      <c r="FC202" s="734"/>
      <c r="FD202" s="734"/>
      <c r="FE202" s="15"/>
      <c r="FF202" s="734"/>
      <c r="FG202" s="734"/>
      <c r="FH202" s="15"/>
      <c r="FI202" s="734"/>
      <c r="FJ202" s="734"/>
      <c r="FK202" s="15"/>
      <c r="FL202" s="734"/>
      <c r="FM202" s="734"/>
      <c r="FN202" s="734"/>
      <c r="FO202" s="734"/>
      <c r="FP202" s="734"/>
      <c r="FQ202" s="15"/>
      <c r="FR202" s="734"/>
      <c r="FS202" s="734"/>
      <c r="FT202" s="766"/>
      <c r="FU202" s="766"/>
      <c r="FV202" s="766"/>
      <c r="FW202" s="766"/>
      <c r="GA202" s="758"/>
      <c r="GB202" s="758"/>
      <c r="GD202" s="188"/>
      <c r="GE202" s="825"/>
      <c r="GF202" s="15"/>
      <c r="GG202" s="15"/>
      <c r="GH202" s="15"/>
      <c r="GI202" s="15"/>
      <c r="GJ202" s="15"/>
      <c r="GK202" s="15"/>
      <c r="GL202" s="15"/>
      <c r="GM202" s="15"/>
      <c r="GN202" s="15"/>
      <c r="GO202" s="15"/>
      <c r="GP202" s="15"/>
      <c r="GQ202" s="15"/>
      <c r="GR202" s="15"/>
      <c r="GS202" s="15"/>
      <c r="GT202" s="15"/>
      <c r="GU202" s="15"/>
      <c r="GV202" s="15"/>
      <c r="GW202" s="15"/>
      <c r="GX202" s="15"/>
      <c r="GY202" s="15"/>
      <c r="GZ202" s="896"/>
      <c r="HA202" s="15"/>
      <c r="HB202" s="15"/>
      <c r="HC202" s="15"/>
      <c r="HD202" s="15"/>
      <c r="HE202" s="15"/>
      <c r="HF202" s="15"/>
      <c r="HG202" s="15"/>
      <c r="HH202" s="15"/>
      <c r="HI202" s="15"/>
      <c r="HJ202" s="15"/>
      <c r="HK202" s="15"/>
      <c r="HL202" s="15"/>
      <c r="HM202" s="15"/>
      <c r="HN202" s="15"/>
      <c r="HO202" s="15"/>
      <c r="HP202" s="15"/>
      <c r="HQ202" s="15"/>
      <c r="HR202" s="15"/>
      <c r="HS202" s="15"/>
      <c r="HT202" s="15"/>
      <c r="HU202" s="15"/>
      <c r="HV202" s="15"/>
      <c r="HW202" s="15"/>
      <c r="HX202" s="15"/>
      <c r="HY202" s="15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  <c r="IP202" s="15"/>
      <c r="IQ202" s="15"/>
      <c r="IR202" s="15"/>
      <c r="IS202" s="15"/>
      <c r="IT202" s="15"/>
      <c r="IU202" s="15"/>
      <c r="IV202" s="15"/>
      <c r="IW202" s="15"/>
      <c r="IX202" s="15"/>
      <c r="IY202" s="15"/>
      <c r="IZ202" s="15"/>
      <c r="JA202" s="15"/>
      <c r="JB202" s="15"/>
      <c r="JC202" s="15"/>
      <c r="JD202" s="15"/>
      <c r="JE202" s="15"/>
      <c r="JF202" s="15"/>
      <c r="JG202" s="15"/>
    </row>
    <row r="203" spans="1:267" s="45" customFormat="1">
      <c r="A203" s="435" t="s">
        <v>48</v>
      </c>
      <c r="B203" s="15">
        <f>COUNTIF(Ville,"*St Paul*")</f>
        <v>3</v>
      </c>
      <c r="C203" s="15">
        <f t="shared" si="473"/>
        <v>128</v>
      </c>
      <c r="D203" s="15"/>
      <c r="E203" s="15"/>
      <c r="F203" s="15"/>
      <c r="G203" s="15"/>
      <c r="H203" s="15"/>
      <c r="I203" s="15"/>
      <c r="J203" s="15"/>
      <c r="K203" s="336"/>
      <c r="L203" s="207"/>
      <c r="M203" s="207"/>
      <c r="N203" s="207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1"/>
      <c r="AS203" s="32"/>
      <c r="AT203" s="15"/>
      <c r="AU203" s="15"/>
      <c r="AV203" s="15"/>
      <c r="AW203" s="15"/>
      <c r="AX203" s="15"/>
      <c r="AY203" s="188"/>
      <c r="AZ203" s="188"/>
      <c r="BA203" s="188"/>
      <c r="BB203" s="188"/>
      <c r="BC203" s="188"/>
      <c r="BD203" s="188"/>
      <c r="BE203" s="188"/>
      <c r="BF203" s="188"/>
      <c r="BG203" s="188"/>
      <c r="BH203" s="188"/>
      <c r="BI203" s="188"/>
      <c r="BJ203" s="188"/>
      <c r="BK203" s="188"/>
      <c r="BL203" s="188"/>
      <c r="BM203" s="188"/>
      <c r="BN203" s="188"/>
      <c r="BO203" s="188"/>
      <c r="BP203" s="188"/>
      <c r="BQ203" s="188"/>
      <c r="BR203" s="188"/>
      <c r="BS203" s="188"/>
      <c r="BT203" s="189"/>
      <c r="BU203" s="188"/>
      <c r="BV203" s="234"/>
      <c r="BW203" s="234"/>
      <c r="BX203" s="188"/>
      <c r="BY203" s="188"/>
      <c r="BZ203" s="188"/>
      <c r="CA203" s="188"/>
      <c r="CB203" s="188"/>
      <c r="CC203" s="778"/>
      <c r="CD203" s="15"/>
      <c r="CE203" s="15"/>
      <c r="CF203" s="15"/>
      <c r="CG203" s="15"/>
      <c r="CH203" s="241"/>
      <c r="CI203" s="241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419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734"/>
      <c r="DV203" s="734"/>
      <c r="DW203" s="33"/>
      <c r="DX203" s="15"/>
      <c r="DY203" s="734"/>
      <c r="DZ203" s="15"/>
      <c r="EA203" s="734"/>
      <c r="EB203" s="15"/>
      <c r="EC203" s="15"/>
      <c r="ED203" s="15"/>
      <c r="EE203" s="15"/>
      <c r="EF203" s="15"/>
      <c r="EG203" s="734"/>
      <c r="EH203" s="734"/>
      <c r="EI203" s="15"/>
      <c r="EJ203" s="734"/>
      <c r="EK203" s="734"/>
      <c r="EL203" s="734"/>
      <c r="EM203" s="15"/>
      <c r="EN203" s="734"/>
      <c r="EO203" s="734"/>
      <c r="EP203" s="15"/>
      <c r="EQ203" s="734"/>
      <c r="ER203" s="734"/>
      <c r="ES203" s="33"/>
      <c r="ET203" s="734"/>
      <c r="EU203" s="734"/>
      <c r="EV203" s="15"/>
      <c r="EW203" s="734"/>
      <c r="EX203" s="734"/>
      <c r="EY203" s="15"/>
      <c r="EZ203" s="734"/>
      <c r="FA203" s="734"/>
      <c r="FB203" s="15"/>
      <c r="FC203" s="734"/>
      <c r="FD203" s="734"/>
      <c r="FE203" s="15"/>
      <c r="FF203" s="734"/>
      <c r="FG203" s="734"/>
      <c r="FH203" s="15"/>
      <c r="FI203" s="734"/>
      <c r="FJ203" s="734"/>
      <c r="FK203" s="15"/>
      <c r="FL203" s="734"/>
      <c r="FM203" s="734"/>
      <c r="FN203" s="734"/>
      <c r="FO203" s="734"/>
      <c r="FP203" s="734"/>
      <c r="FQ203" s="15"/>
      <c r="FR203" s="734"/>
      <c r="FS203" s="734"/>
      <c r="FT203" s="766"/>
      <c r="FU203" s="766"/>
      <c r="FV203" s="766"/>
      <c r="FW203" s="766"/>
      <c r="GA203" s="758"/>
      <c r="GB203" s="758"/>
      <c r="GD203" s="188"/>
      <c r="GE203" s="825"/>
      <c r="GF203" s="15"/>
      <c r="GG203" s="15"/>
      <c r="GH203" s="15"/>
      <c r="GI203" s="15"/>
      <c r="GJ203" s="15"/>
      <c r="GK203" s="15"/>
      <c r="GL203" s="15"/>
      <c r="GM203" s="15"/>
      <c r="GN203" s="15"/>
      <c r="GO203" s="15"/>
      <c r="GP203" s="15"/>
      <c r="GQ203" s="15"/>
      <c r="GR203" s="15"/>
      <c r="GS203" s="15"/>
      <c r="GT203" s="15"/>
      <c r="GU203" s="15"/>
      <c r="GV203" s="15"/>
      <c r="GW203" s="15"/>
      <c r="GX203" s="15"/>
      <c r="GY203" s="15"/>
      <c r="GZ203" s="896"/>
      <c r="HA203" s="15"/>
      <c r="HB203" s="15"/>
      <c r="HC203" s="15"/>
      <c r="HD203" s="15"/>
      <c r="HE203" s="15"/>
      <c r="HF203" s="15"/>
      <c r="HG203" s="15"/>
      <c r="HH203" s="15"/>
      <c r="HI203" s="15"/>
      <c r="HJ203" s="15"/>
      <c r="HK203" s="15"/>
      <c r="HL203" s="15"/>
      <c r="HM203" s="15"/>
      <c r="HN203" s="15"/>
      <c r="HO203" s="15"/>
      <c r="HP203" s="15"/>
      <c r="HQ203" s="15"/>
      <c r="HR203" s="15"/>
      <c r="HS203" s="15"/>
      <c r="HT203" s="15"/>
      <c r="HU203" s="15"/>
      <c r="HV203" s="15"/>
      <c r="HW203" s="15"/>
      <c r="HX203" s="15"/>
      <c r="HY203" s="15"/>
      <c r="HZ203" s="15"/>
      <c r="IA203" s="15"/>
      <c r="IB203" s="15"/>
      <c r="IC203" s="15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  <c r="IP203" s="15"/>
      <c r="IQ203" s="15"/>
      <c r="IR203" s="15"/>
      <c r="IS203" s="15"/>
      <c r="IT203" s="15"/>
      <c r="IU203" s="15"/>
      <c r="IV203" s="15"/>
      <c r="IW203" s="15"/>
      <c r="IX203" s="15"/>
      <c r="IY203" s="15"/>
      <c r="IZ203" s="15"/>
      <c r="JA203" s="15"/>
      <c r="JB203" s="15"/>
      <c r="JC203" s="15"/>
      <c r="JD203" s="15"/>
      <c r="JE203" s="15"/>
      <c r="JF203" s="15"/>
      <c r="JG203" s="15"/>
    </row>
    <row r="204" spans="1:267" s="45" customFormat="1">
      <c r="A204" s="435" t="s">
        <v>31</v>
      </c>
      <c r="B204" s="15">
        <f>COUNTIF(Ville,"*St Philippe*")</f>
        <v>3</v>
      </c>
      <c r="C204" s="15">
        <f t="shared" si="473"/>
        <v>52</v>
      </c>
      <c r="D204" s="15"/>
      <c r="E204" s="15"/>
      <c r="F204" s="15"/>
      <c r="G204" s="15"/>
      <c r="H204" s="15"/>
      <c r="I204" s="15"/>
      <c r="J204" s="15"/>
      <c r="K204" s="336"/>
      <c r="L204" s="207"/>
      <c r="M204" s="207"/>
      <c r="N204" s="207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1"/>
      <c r="AS204" s="32"/>
      <c r="AT204" s="15"/>
      <c r="AU204" s="15"/>
      <c r="AV204" s="15"/>
      <c r="AW204" s="15"/>
      <c r="AX204" s="15"/>
      <c r="AY204" s="188"/>
      <c r="AZ204" s="188"/>
      <c r="BA204" s="188"/>
      <c r="BB204" s="188"/>
      <c r="BC204" s="188"/>
      <c r="BD204" s="188"/>
      <c r="BE204" s="188"/>
      <c r="BF204" s="188"/>
      <c r="BG204" s="188"/>
      <c r="BH204" s="188"/>
      <c r="BI204" s="188"/>
      <c r="BJ204" s="188"/>
      <c r="BK204" s="188"/>
      <c r="BL204" s="188"/>
      <c r="BM204" s="188"/>
      <c r="BN204" s="188"/>
      <c r="BO204" s="188"/>
      <c r="BP204" s="188"/>
      <c r="BQ204" s="188"/>
      <c r="BR204" s="188"/>
      <c r="BS204" s="188"/>
      <c r="BT204" s="189"/>
      <c r="BU204" s="188"/>
      <c r="BV204" s="234"/>
      <c r="BW204" s="234"/>
      <c r="BX204" s="188"/>
      <c r="BY204" s="188"/>
      <c r="BZ204" s="188"/>
      <c r="CA204" s="188"/>
      <c r="CB204" s="188"/>
      <c r="CC204" s="778"/>
      <c r="CD204" s="15"/>
      <c r="CE204" s="15"/>
      <c r="CF204" s="15"/>
      <c r="CG204" s="15"/>
      <c r="CH204" s="241"/>
      <c r="CI204" s="241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419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734"/>
      <c r="DV204" s="734"/>
      <c r="DW204" s="33"/>
      <c r="DX204" s="15"/>
      <c r="DY204" s="734"/>
      <c r="DZ204" s="15"/>
      <c r="EA204" s="734"/>
      <c r="EB204" s="15"/>
      <c r="EC204" s="15"/>
      <c r="ED204" s="15"/>
      <c r="EE204" s="15"/>
      <c r="EF204" s="15"/>
      <c r="EG204" s="734"/>
      <c r="EH204" s="734"/>
      <c r="EI204" s="15"/>
      <c r="EJ204" s="734"/>
      <c r="EK204" s="734"/>
      <c r="EL204" s="734"/>
      <c r="EM204" s="15"/>
      <c r="EN204" s="734"/>
      <c r="EO204" s="734"/>
      <c r="EP204" s="15"/>
      <c r="EQ204" s="734"/>
      <c r="ER204" s="734"/>
      <c r="ES204" s="33"/>
      <c r="ET204" s="734"/>
      <c r="EU204" s="734"/>
      <c r="EV204" s="15"/>
      <c r="EW204" s="734"/>
      <c r="EX204" s="734"/>
      <c r="EY204" s="15"/>
      <c r="EZ204" s="734"/>
      <c r="FA204" s="734"/>
      <c r="FB204" s="15"/>
      <c r="FC204" s="734"/>
      <c r="FD204" s="734"/>
      <c r="FE204" s="15"/>
      <c r="FF204" s="734"/>
      <c r="FG204" s="734"/>
      <c r="FH204" s="15"/>
      <c r="FI204" s="734"/>
      <c r="FJ204" s="734"/>
      <c r="FK204" s="15"/>
      <c r="FL204" s="734"/>
      <c r="FM204" s="734"/>
      <c r="FN204" s="734"/>
      <c r="FO204" s="734"/>
      <c r="FP204" s="734"/>
      <c r="FQ204" s="15"/>
      <c r="FR204" s="734"/>
      <c r="FS204" s="734"/>
      <c r="FT204" s="766"/>
      <c r="FU204" s="766"/>
      <c r="FV204" s="766"/>
      <c r="FW204" s="766"/>
      <c r="GA204" s="758"/>
      <c r="GB204" s="758"/>
      <c r="GD204" s="188"/>
      <c r="GE204" s="825"/>
      <c r="GF204" s="15"/>
      <c r="GG204" s="15"/>
      <c r="GH204" s="15"/>
      <c r="GI204" s="15"/>
      <c r="GJ204" s="15"/>
      <c r="GK204" s="15"/>
      <c r="GL204" s="15"/>
      <c r="GM204" s="15"/>
      <c r="GN204" s="15"/>
      <c r="GO204" s="15"/>
      <c r="GP204" s="15"/>
      <c r="GQ204" s="15"/>
      <c r="GR204" s="15"/>
      <c r="GS204" s="15"/>
      <c r="GT204" s="15"/>
      <c r="GU204" s="15"/>
      <c r="GV204" s="15"/>
      <c r="GW204" s="15"/>
      <c r="GX204" s="15"/>
      <c r="GY204" s="15"/>
      <c r="GZ204" s="896"/>
      <c r="HA204" s="15"/>
      <c r="HB204" s="15"/>
      <c r="HC204" s="15"/>
      <c r="HD204" s="15"/>
      <c r="HE204" s="15"/>
      <c r="HF204" s="15"/>
      <c r="HG204" s="15"/>
      <c r="HH204" s="15"/>
      <c r="HI204" s="15"/>
      <c r="HJ204" s="15"/>
      <c r="HK204" s="15"/>
      <c r="HL204" s="15"/>
      <c r="HM204" s="15"/>
      <c r="HN204" s="15"/>
      <c r="HO204" s="15"/>
      <c r="HP204" s="15"/>
      <c r="HQ204" s="15"/>
      <c r="HR204" s="15"/>
      <c r="HS204" s="15"/>
      <c r="HT204" s="15"/>
      <c r="HU204" s="15"/>
      <c r="HV204" s="15"/>
      <c r="HW204" s="15"/>
      <c r="HX204" s="15"/>
      <c r="HY204" s="15"/>
      <c r="HZ204" s="15"/>
      <c r="IA204" s="15"/>
      <c r="IB204" s="15"/>
      <c r="IC204" s="15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  <c r="IP204" s="15"/>
      <c r="IQ204" s="15"/>
      <c r="IR204" s="15"/>
      <c r="IS204" s="15"/>
      <c r="IT204" s="15"/>
      <c r="IU204" s="15"/>
      <c r="IV204" s="15"/>
      <c r="IW204" s="15"/>
      <c r="IX204" s="15"/>
      <c r="IY204" s="15"/>
      <c r="IZ204" s="15"/>
      <c r="JA204" s="15"/>
      <c r="JB204" s="15"/>
      <c r="JC204" s="15"/>
      <c r="JD204" s="15"/>
      <c r="JE204" s="15"/>
      <c r="JF204" s="15"/>
      <c r="JG204" s="15"/>
    </row>
    <row r="205" spans="1:267" s="45" customFormat="1">
      <c r="A205" s="435" t="s">
        <v>103</v>
      </c>
      <c r="B205" s="15">
        <f>COUNTIF(Ville,"*St Pierre*")</f>
        <v>3</v>
      </c>
      <c r="C205" s="15">
        <f t="shared" si="473"/>
        <v>253</v>
      </c>
      <c r="D205" s="15"/>
      <c r="E205" s="15"/>
      <c r="F205" s="15"/>
      <c r="G205" s="15"/>
      <c r="H205" s="15"/>
      <c r="I205" s="15"/>
      <c r="J205" s="15"/>
      <c r="K205" s="336"/>
      <c r="L205" s="207"/>
      <c r="M205" s="207"/>
      <c r="N205" s="207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1"/>
      <c r="AS205" s="32"/>
      <c r="AT205" s="15"/>
      <c r="AU205" s="15"/>
      <c r="AV205" s="15"/>
      <c r="AW205" s="15"/>
      <c r="AX205" s="15"/>
      <c r="AY205" s="188"/>
      <c r="AZ205" s="188"/>
      <c r="BA205" s="188"/>
      <c r="BB205" s="188"/>
      <c r="BC205" s="188"/>
      <c r="BD205" s="188"/>
      <c r="BE205" s="188"/>
      <c r="BF205" s="188"/>
      <c r="BG205" s="188"/>
      <c r="BH205" s="188"/>
      <c r="BI205" s="188"/>
      <c r="BJ205" s="188"/>
      <c r="BK205" s="188"/>
      <c r="BL205" s="188"/>
      <c r="BM205" s="188"/>
      <c r="BN205" s="188"/>
      <c r="BO205" s="188"/>
      <c r="BP205" s="188"/>
      <c r="BQ205" s="188"/>
      <c r="BR205" s="188"/>
      <c r="BS205" s="188"/>
      <c r="BT205" s="189"/>
      <c r="BU205" s="188"/>
      <c r="BV205" s="234"/>
      <c r="BW205" s="234"/>
      <c r="BX205" s="188"/>
      <c r="BY205" s="188"/>
      <c r="BZ205" s="188"/>
      <c r="CA205" s="188"/>
      <c r="CB205" s="188"/>
      <c r="CC205" s="778"/>
      <c r="CD205" s="15"/>
      <c r="CE205" s="15"/>
      <c r="CF205" s="15"/>
      <c r="CG205" s="15"/>
      <c r="CH205" s="241"/>
      <c r="CI205" s="241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419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734"/>
      <c r="DV205" s="734"/>
      <c r="DW205" s="33"/>
      <c r="DX205" s="15"/>
      <c r="DY205" s="734"/>
      <c r="DZ205" s="15"/>
      <c r="EA205" s="734"/>
      <c r="EB205" s="15"/>
      <c r="EC205" s="15"/>
      <c r="ED205" s="15"/>
      <c r="EE205" s="15"/>
      <c r="EF205" s="15"/>
      <c r="EG205" s="734"/>
      <c r="EH205" s="734"/>
      <c r="EI205" s="15"/>
      <c r="EJ205" s="734"/>
      <c r="EK205" s="734"/>
      <c r="EL205" s="734"/>
      <c r="EM205" s="15"/>
      <c r="EN205" s="734"/>
      <c r="EO205" s="734"/>
      <c r="EP205" s="15"/>
      <c r="EQ205" s="734"/>
      <c r="ER205" s="734"/>
      <c r="ES205" s="33"/>
      <c r="ET205" s="734"/>
      <c r="EU205" s="734"/>
      <c r="EV205" s="15"/>
      <c r="EW205" s="734"/>
      <c r="EX205" s="734"/>
      <c r="EY205" s="15"/>
      <c r="EZ205" s="734"/>
      <c r="FA205" s="734"/>
      <c r="FB205" s="15"/>
      <c r="FC205" s="734"/>
      <c r="FD205" s="734"/>
      <c r="FE205" s="15"/>
      <c r="FF205" s="734"/>
      <c r="FG205" s="734"/>
      <c r="FH205" s="15"/>
      <c r="FI205" s="734"/>
      <c r="FJ205" s="734"/>
      <c r="FK205" s="15"/>
      <c r="FL205" s="734"/>
      <c r="FM205" s="734"/>
      <c r="FN205" s="734"/>
      <c r="FO205" s="734"/>
      <c r="FP205" s="734"/>
      <c r="FQ205" s="15"/>
      <c r="FR205" s="734"/>
      <c r="FS205" s="734"/>
      <c r="FT205" s="766"/>
      <c r="FU205" s="766"/>
      <c r="FV205" s="766"/>
      <c r="FW205" s="766"/>
      <c r="GA205" s="758"/>
      <c r="GB205" s="758"/>
      <c r="GD205" s="188"/>
      <c r="GE205" s="825"/>
      <c r="GF205" s="15"/>
      <c r="GG205" s="15"/>
      <c r="GH205" s="15"/>
      <c r="GI205" s="15"/>
      <c r="GJ205" s="15"/>
      <c r="GK205" s="15"/>
      <c r="GL205" s="15"/>
      <c r="GM205" s="15"/>
      <c r="GN205" s="15"/>
      <c r="GO205" s="15"/>
      <c r="GP205" s="15"/>
      <c r="GQ205" s="15"/>
      <c r="GR205" s="15"/>
      <c r="GS205" s="15"/>
      <c r="GT205" s="15"/>
      <c r="GU205" s="15"/>
      <c r="GV205" s="15"/>
      <c r="GW205" s="15"/>
      <c r="GX205" s="15"/>
      <c r="GY205" s="15"/>
      <c r="GZ205" s="896"/>
      <c r="HA205" s="15"/>
      <c r="HB205" s="15"/>
      <c r="HC205" s="15"/>
      <c r="HD205" s="15"/>
      <c r="HE205" s="15"/>
      <c r="HF205" s="15"/>
      <c r="HG205" s="15"/>
      <c r="HH205" s="15"/>
      <c r="HI205" s="15"/>
      <c r="HJ205" s="15"/>
      <c r="HK205" s="15"/>
      <c r="HL205" s="15"/>
      <c r="HM205" s="15"/>
      <c r="HN205" s="15"/>
      <c r="HO205" s="15"/>
      <c r="HP205" s="15"/>
      <c r="HQ205" s="15"/>
      <c r="HR205" s="15"/>
      <c r="HS205" s="15"/>
      <c r="HT205" s="15"/>
      <c r="HU205" s="15"/>
      <c r="HV205" s="15"/>
      <c r="HW205" s="15"/>
      <c r="HX205" s="15"/>
      <c r="HY205" s="15"/>
      <c r="HZ205" s="15"/>
      <c r="IA205" s="15"/>
      <c r="IB205" s="15"/>
      <c r="IC205" s="15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</row>
    <row r="206" spans="1:267" s="45" customFormat="1">
      <c r="A206" s="435" t="s">
        <v>35</v>
      </c>
      <c r="B206" s="15">
        <f>COUNTIF(Ville,"*Tampon*")</f>
        <v>35</v>
      </c>
      <c r="C206" s="15">
        <f t="shared" si="473"/>
        <v>1562</v>
      </c>
      <c r="D206" s="15"/>
      <c r="E206" s="15"/>
      <c r="F206" s="15"/>
      <c r="G206" s="15"/>
      <c r="H206" s="15"/>
      <c r="I206" s="15"/>
      <c r="J206" s="15"/>
      <c r="K206" s="336"/>
      <c r="L206" s="207"/>
      <c r="M206" s="207"/>
      <c r="N206" s="207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1"/>
      <c r="AS206" s="32"/>
      <c r="AT206" s="15"/>
      <c r="AU206" s="15"/>
      <c r="AV206" s="15"/>
      <c r="AW206" s="15"/>
      <c r="AX206" s="15"/>
      <c r="AY206" s="188"/>
      <c r="AZ206" s="188"/>
      <c r="BA206" s="188"/>
      <c r="BB206" s="188"/>
      <c r="BC206" s="188"/>
      <c r="BD206" s="188"/>
      <c r="BE206" s="188"/>
      <c r="BF206" s="188"/>
      <c r="BG206" s="188"/>
      <c r="BH206" s="188"/>
      <c r="BI206" s="188"/>
      <c r="BJ206" s="188"/>
      <c r="BK206" s="188"/>
      <c r="BL206" s="188"/>
      <c r="BM206" s="188"/>
      <c r="BN206" s="188"/>
      <c r="BO206" s="188"/>
      <c r="BP206" s="188"/>
      <c r="BQ206" s="188"/>
      <c r="BR206" s="188"/>
      <c r="BS206" s="188"/>
      <c r="BT206" s="189"/>
      <c r="BU206" s="188"/>
      <c r="BV206" s="234"/>
      <c r="BW206" s="234"/>
      <c r="BX206" s="188"/>
      <c r="BY206" s="188"/>
      <c r="BZ206" s="188"/>
      <c r="CA206" s="188"/>
      <c r="CB206" s="188"/>
      <c r="CC206" s="778"/>
      <c r="CD206" s="15"/>
      <c r="CE206" s="15"/>
      <c r="CF206" s="15"/>
      <c r="CG206" s="15"/>
      <c r="CH206" s="241"/>
      <c r="CI206" s="241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419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734"/>
      <c r="DV206" s="734"/>
      <c r="DW206" s="33"/>
      <c r="DX206" s="15"/>
      <c r="DY206" s="734"/>
      <c r="DZ206" s="15"/>
      <c r="EA206" s="734"/>
      <c r="EB206" s="15"/>
      <c r="EC206" s="15"/>
      <c r="ED206" s="15"/>
      <c r="EE206" s="15"/>
      <c r="EF206" s="15"/>
      <c r="EG206" s="734"/>
      <c r="EH206" s="734"/>
      <c r="EI206" s="15"/>
      <c r="EJ206" s="734"/>
      <c r="EK206" s="734"/>
      <c r="EL206" s="734"/>
      <c r="EM206" s="15"/>
      <c r="EN206" s="734"/>
      <c r="EO206" s="734"/>
      <c r="EP206" s="15"/>
      <c r="EQ206" s="734"/>
      <c r="ER206" s="734"/>
      <c r="ES206" s="33"/>
      <c r="ET206" s="734"/>
      <c r="EU206" s="734"/>
      <c r="EV206" s="15"/>
      <c r="EW206" s="734"/>
      <c r="EX206" s="734"/>
      <c r="EY206" s="15"/>
      <c r="EZ206" s="734"/>
      <c r="FA206" s="734"/>
      <c r="FB206" s="15"/>
      <c r="FC206" s="734"/>
      <c r="FD206" s="734"/>
      <c r="FE206" s="15"/>
      <c r="FF206" s="734"/>
      <c r="FG206" s="734"/>
      <c r="FH206" s="15"/>
      <c r="FI206" s="734"/>
      <c r="FJ206" s="734"/>
      <c r="FK206" s="15"/>
      <c r="FL206" s="734"/>
      <c r="FM206" s="734"/>
      <c r="FN206" s="734"/>
      <c r="FO206" s="734"/>
      <c r="FP206" s="734"/>
      <c r="FQ206" s="15"/>
      <c r="FR206" s="734"/>
      <c r="FS206" s="734"/>
      <c r="FT206" s="766"/>
      <c r="FU206" s="766"/>
      <c r="FV206" s="766"/>
      <c r="FW206" s="766"/>
      <c r="GA206" s="758"/>
      <c r="GB206" s="758"/>
      <c r="GD206" s="188"/>
      <c r="GE206" s="825"/>
      <c r="GF206" s="15"/>
      <c r="GG206" s="15"/>
      <c r="GH206" s="15"/>
      <c r="GI206" s="15"/>
      <c r="GJ206" s="15"/>
      <c r="GK206" s="15"/>
      <c r="GL206" s="15"/>
      <c r="GM206" s="15"/>
      <c r="GN206" s="15"/>
      <c r="GO206" s="15"/>
      <c r="GP206" s="15"/>
      <c r="GQ206" s="15"/>
      <c r="GR206" s="15"/>
      <c r="GS206" s="15"/>
      <c r="GT206" s="15"/>
      <c r="GU206" s="15"/>
      <c r="GV206" s="15"/>
      <c r="GW206" s="15"/>
      <c r="GX206" s="15"/>
      <c r="GY206" s="15"/>
      <c r="GZ206" s="896"/>
      <c r="HA206" s="15"/>
      <c r="HB206" s="15"/>
      <c r="HC206" s="15"/>
      <c r="HD206" s="15"/>
      <c r="HE206" s="15"/>
      <c r="HF206" s="15"/>
      <c r="HG206" s="15"/>
      <c r="HH206" s="15"/>
      <c r="HI206" s="15"/>
      <c r="HJ206" s="15"/>
      <c r="HK206" s="15"/>
      <c r="HL206" s="15"/>
      <c r="HM206" s="15"/>
      <c r="HN206" s="15"/>
      <c r="HO206" s="15"/>
      <c r="HP206" s="15"/>
      <c r="HQ206" s="15"/>
      <c r="HR206" s="15"/>
      <c r="HS206" s="15"/>
      <c r="HT206" s="15"/>
      <c r="HU206" s="15"/>
      <c r="HV206" s="15"/>
      <c r="HW206" s="15"/>
      <c r="HX206" s="15"/>
      <c r="HY206" s="15"/>
      <c r="HZ206" s="15"/>
      <c r="IA206" s="15"/>
      <c r="IB206" s="15"/>
      <c r="IC206" s="15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</row>
    <row r="207" spans="1:267" s="45" customFormat="1">
      <c r="A207" s="435" t="s">
        <v>41</v>
      </c>
      <c r="B207" s="15">
        <f>COUNTIF(Ville,"*Trois Bassins*")</f>
        <v>2</v>
      </c>
      <c r="C207" s="15">
        <f t="shared" si="473"/>
        <v>84</v>
      </c>
      <c r="D207" s="15"/>
      <c r="E207" s="15"/>
      <c r="F207" s="15"/>
      <c r="G207" s="15"/>
      <c r="H207" s="15"/>
      <c r="I207" s="15"/>
      <c r="J207" s="15"/>
      <c r="K207" s="336"/>
      <c r="L207" s="207"/>
      <c r="M207" s="207"/>
      <c r="N207" s="207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1"/>
      <c r="AS207" s="32"/>
      <c r="AT207" s="15"/>
      <c r="AU207" s="15"/>
      <c r="AV207" s="15"/>
      <c r="AW207" s="15"/>
      <c r="AX207" s="15"/>
      <c r="AY207" s="188"/>
      <c r="AZ207" s="188"/>
      <c r="BA207" s="188"/>
      <c r="BB207" s="188"/>
      <c r="BC207" s="188"/>
      <c r="BD207" s="188"/>
      <c r="BE207" s="188"/>
      <c r="BF207" s="188"/>
      <c r="BG207" s="188"/>
      <c r="BH207" s="188"/>
      <c r="BI207" s="188"/>
      <c r="BJ207" s="188"/>
      <c r="BK207" s="188"/>
      <c r="BL207" s="188"/>
      <c r="BM207" s="188"/>
      <c r="BN207" s="188"/>
      <c r="BO207" s="188"/>
      <c r="BP207" s="188"/>
      <c r="BQ207" s="188"/>
      <c r="BR207" s="188"/>
      <c r="BS207" s="188"/>
      <c r="BT207" s="189"/>
      <c r="BU207" s="188"/>
      <c r="BV207" s="234"/>
      <c r="BW207" s="234"/>
      <c r="BX207" s="188"/>
      <c r="BY207" s="188"/>
      <c r="BZ207" s="188"/>
      <c r="CA207" s="188"/>
      <c r="CB207" s="188"/>
      <c r="CC207" s="778"/>
      <c r="CD207" s="15"/>
      <c r="CE207" s="15"/>
      <c r="CF207" s="15"/>
      <c r="CG207" s="15"/>
      <c r="CH207" s="241"/>
      <c r="CI207" s="241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419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734"/>
      <c r="DV207" s="734"/>
      <c r="DW207" s="33"/>
      <c r="DX207" s="15"/>
      <c r="DY207" s="734"/>
      <c r="DZ207" s="15"/>
      <c r="EA207" s="734"/>
      <c r="EB207" s="15"/>
      <c r="EC207" s="15"/>
      <c r="ED207" s="15"/>
      <c r="EE207" s="15"/>
      <c r="EF207" s="15"/>
      <c r="EG207" s="734"/>
      <c r="EH207" s="734"/>
      <c r="EI207" s="15"/>
      <c r="EJ207" s="734"/>
      <c r="EK207" s="734"/>
      <c r="EL207" s="734"/>
      <c r="EM207" s="15"/>
      <c r="EN207" s="734"/>
      <c r="EO207" s="734"/>
      <c r="EP207" s="15"/>
      <c r="EQ207" s="734"/>
      <c r="ER207" s="734"/>
      <c r="ES207" s="33"/>
      <c r="ET207" s="734"/>
      <c r="EU207" s="734"/>
      <c r="EV207" s="15"/>
      <c r="EW207" s="734"/>
      <c r="EX207" s="734"/>
      <c r="EY207" s="15"/>
      <c r="EZ207" s="734"/>
      <c r="FA207" s="734"/>
      <c r="FB207" s="15"/>
      <c r="FC207" s="734"/>
      <c r="FD207" s="734"/>
      <c r="FE207" s="15"/>
      <c r="FF207" s="734"/>
      <c r="FG207" s="734"/>
      <c r="FH207" s="15"/>
      <c r="FI207" s="734"/>
      <c r="FJ207" s="734"/>
      <c r="FK207" s="15"/>
      <c r="FL207" s="734"/>
      <c r="FM207" s="734"/>
      <c r="FN207" s="734"/>
      <c r="FO207" s="734"/>
      <c r="FP207" s="734"/>
      <c r="FQ207" s="15"/>
      <c r="FR207" s="734"/>
      <c r="FS207" s="734"/>
      <c r="FT207" s="766"/>
      <c r="FU207" s="766"/>
      <c r="FV207" s="766"/>
      <c r="FW207" s="766"/>
      <c r="GA207" s="758"/>
      <c r="GB207" s="758"/>
      <c r="GD207" s="188"/>
      <c r="GE207" s="825"/>
      <c r="GF207" s="15"/>
      <c r="GG207" s="15"/>
      <c r="GH207" s="15"/>
      <c r="GI207" s="15"/>
      <c r="GJ207" s="15"/>
      <c r="GK207" s="15"/>
      <c r="GL207" s="15"/>
      <c r="GM207" s="15"/>
      <c r="GN207" s="15"/>
      <c r="GO207" s="15"/>
      <c r="GP207" s="15"/>
      <c r="GQ207" s="15"/>
      <c r="GR207" s="15"/>
      <c r="GS207" s="15"/>
      <c r="GT207" s="15"/>
      <c r="GU207" s="15"/>
      <c r="GV207" s="15"/>
      <c r="GW207" s="15"/>
      <c r="GX207" s="15"/>
      <c r="GY207" s="15"/>
      <c r="GZ207" s="896"/>
      <c r="HA207" s="15"/>
      <c r="HB207" s="15"/>
      <c r="HC207" s="15"/>
      <c r="HD207" s="15"/>
      <c r="HE207" s="15"/>
      <c r="HF207" s="15"/>
      <c r="HG207" s="15"/>
      <c r="HH207" s="15"/>
      <c r="HI207" s="15"/>
      <c r="HJ207" s="15"/>
      <c r="HK207" s="15"/>
      <c r="HL207" s="15"/>
      <c r="HM207" s="15"/>
      <c r="HN207" s="15"/>
      <c r="HO207" s="15"/>
      <c r="HP207" s="15"/>
      <c r="HQ207" s="15"/>
      <c r="HR207" s="15"/>
      <c r="HS207" s="15"/>
      <c r="HT207" s="15"/>
      <c r="HU207" s="15"/>
      <c r="HV207" s="15"/>
      <c r="HW207" s="15"/>
      <c r="HX207" s="15"/>
      <c r="HY207" s="15"/>
      <c r="HZ207" s="15"/>
      <c r="IA207" s="15"/>
      <c r="IB207" s="15"/>
      <c r="IC207" s="15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</row>
    <row r="208" spans="1:267" s="45" customFormat="1">
      <c r="A208" s="433"/>
      <c r="B208" s="33">
        <f>SUM(B198:B207)</f>
        <v>95</v>
      </c>
      <c r="C208" s="33">
        <f>SUM(C198:C207)</f>
        <v>3292</v>
      </c>
      <c r="D208" s="15"/>
      <c r="E208" s="15"/>
      <c r="F208" s="15"/>
      <c r="G208" s="15"/>
      <c r="H208" s="15"/>
      <c r="I208" s="15"/>
      <c r="J208" s="15"/>
      <c r="K208" s="336"/>
      <c r="L208" s="207"/>
      <c r="M208" s="207"/>
      <c r="N208" s="207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1"/>
      <c r="AS208" s="32"/>
      <c r="AT208" s="15"/>
      <c r="AU208" s="15"/>
      <c r="AV208" s="15"/>
      <c r="AW208" s="15"/>
      <c r="AX208" s="15"/>
      <c r="AY208" s="188"/>
      <c r="AZ208" s="188"/>
      <c r="BA208" s="188"/>
      <c r="BB208" s="188"/>
      <c r="BC208" s="188"/>
      <c r="BD208" s="188"/>
      <c r="BE208" s="188"/>
      <c r="BF208" s="188"/>
      <c r="BG208" s="188"/>
      <c r="BH208" s="188"/>
      <c r="BI208" s="188"/>
      <c r="BJ208" s="188"/>
      <c r="BK208" s="188"/>
      <c r="BL208" s="188"/>
      <c r="BM208" s="188"/>
      <c r="BN208" s="188"/>
      <c r="BO208" s="188"/>
      <c r="BP208" s="188"/>
      <c r="BQ208" s="188"/>
      <c r="BR208" s="188"/>
      <c r="BS208" s="188"/>
      <c r="BT208" s="189"/>
      <c r="BU208" s="188"/>
      <c r="BV208" s="234"/>
      <c r="BW208" s="234"/>
      <c r="BX208" s="188"/>
      <c r="BY208" s="188"/>
      <c r="BZ208" s="188"/>
      <c r="CA208" s="188"/>
      <c r="CB208" s="188"/>
      <c r="CC208" s="778"/>
      <c r="CD208" s="15"/>
      <c r="CE208" s="15"/>
      <c r="CF208" s="15"/>
      <c r="CG208" s="15"/>
      <c r="CH208" s="241"/>
      <c r="CI208" s="241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419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734"/>
      <c r="DV208" s="734"/>
      <c r="DW208" s="33"/>
      <c r="DX208" s="15"/>
      <c r="DY208" s="734"/>
      <c r="DZ208" s="15"/>
      <c r="EA208" s="734"/>
      <c r="EB208" s="15"/>
      <c r="EC208" s="15"/>
      <c r="ED208" s="15"/>
      <c r="EE208" s="15"/>
      <c r="EF208" s="15"/>
      <c r="EG208" s="734"/>
      <c r="EH208" s="734"/>
      <c r="EI208" s="15"/>
      <c r="EJ208" s="734"/>
      <c r="EK208" s="734"/>
      <c r="EL208" s="734"/>
      <c r="EM208" s="15"/>
      <c r="EN208" s="734"/>
      <c r="EO208" s="734"/>
      <c r="EP208" s="15"/>
      <c r="EQ208" s="734"/>
      <c r="ER208" s="734"/>
      <c r="ES208" s="33"/>
      <c r="ET208" s="734"/>
      <c r="EU208" s="734"/>
      <c r="EV208" s="15"/>
      <c r="EW208" s="734"/>
      <c r="EX208" s="734"/>
      <c r="EY208" s="15"/>
      <c r="EZ208" s="734"/>
      <c r="FA208" s="734"/>
      <c r="FB208" s="15"/>
      <c r="FC208" s="734"/>
      <c r="FD208" s="734"/>
      <c r="FE208" s="15"/>
      <c r="FF208" s="734"/>
      <c r="FG208" s="734"/>
      <c r="FH208" s="15"/>
      <c r="FI208" s="734"/>
      <c r="FJ208" s="734"/>
      <c r="FK208" s="15"/>
      <c r="FL208" s="734"/>
      <c r="FM208" s="734"/>
      <c r="FN208" s="734"/>
      <c r="FO208" s="734"/>
      <c r="FP208" s="734"/>
      <c r="FQ208" s="15"/>
      <c r="FR208" s="734"/>
      <c r="FS208" s="734"/>
      <c r="FT208" s="766"/>
      <c r="FU208" s="766"/>
      <c r="FV208" s="766"/>
      <c r="FW208" s="766"/>
      <c r="GA208" s="758"/>
      <c r="GB208" s="758"/>
      <c r="GD208" s="188"/>
      <c r="GE208" s="825"/>
      <c r="GF208" s="15"/>
      <c r="GG208" s="15"/>
      <c r="GH208" s="15"/>
      <c r="GI208" s="15"/>
      <c r="GJ208" s="15"/>
      <c r="GK208" s="15"/>
      <c r="GL208" s="15"/>
      <c r="GM208" s="15"/>
      <c r="GN208" s="15"/>
      <c r="GO208" s="15"/>
      <c r="GP208" s="15"/>
      <c r="GQ208" s="15"/>
      <c r="GR208" s="15"/>
      <c r="GS208" s="15"/>
      <c r="GT208" s="15"/>
      <c r="GU208" s="15"/>
      <c r="GV208" s="15"/>
      <c r="GW208" s="15"/>
      <c r="GX208" s="15"/>
      <c r="GY208" s="15"/>
      <c r="GZ208" s="896"/>
      <c r="HA208" s="15"/>
      <c r="HB208" s="15"/>
      <c r="HC208" s="15"/>
      <c r="HD208" s="15"/>
      <c r="HE208" s="15"/>
      <c r="HF208" s="15"/>
      <c r="HG208" s="15"/>
      <c r="HH208" s="15"/>
      <c r="HI208" s="15"/>
      <c r="HJ208" s="15"/>
      <c r="HK208" s="15"/>
      <c r="HL208" s="15"/>
      <c r="HM208" s="15"/>
      <c r="HN208" s="15"/>
      <c r="HO208" s="15"/>
      <c r="HP208" s="15"/>
      <c r="HQ208" s="15"/>
      <c r="HR208" s="15"/>
      <c r="HS208" s="15"/>
      <c r="HT208" s="15"/>
      <c r="HU208" s="15"/>
      <c r="HV208" s="15"/>
      <c r="HW208" s="15"/>
      <c r="HX208" s="15"/>
      <c r="HY208" s="15"/>
      <c r="HZ208" s="15"/>
      <c r="IA208" s="15"/>
      <c r="IB208" s="15"/>
      <c r="IC208" s="15"/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</row>
    <row r="209" spans="1:267" s="45" customFormat="1">
      <c r="A209" s="433"/>
      <c r="B209" s="15"/>
      <c r="C209" s="15"/>
      <c r="D209" s="15"/>
      <c r="E209" s="15"/>
      <c r="F209" s="15"/>
      <c r="G209" s="15"/>
      <c r="H209" s="15"/>
      <c r="I209" s="15"/>
      <c r="J209" s="15"/>
      <c r="K209" s="336"/>
      <c r="L209" s="207"/>
      <c r="M209" s="207"/>
      <c r="N209" s="207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1"/>
      <c r="AS209" s="32"/>
      <c r="AT209" s="15"/>
      <c r="AU209" s="15"/>
      <c r="AV209" s="15"/>
      <c r="AW209" s="15"/>
      <c r="AX209" s="15"/>
      <c r="AY209" s="188"/>
      <c r="AZ209" s="188"/>
      <c r="BA209" s="188"/>
      <c r="BB209" s="188"/>
      <c r="BC209" s="188"/>
      <c r="BD209" s="188"/>
      <c r="BE209" s="188"/>
      <c r="BF209" s="188"/>
      <c r="BG209" s="188"/>
      <c r="BH209" s="188"/>
      <c r="BI209" s="188"/>
      <c r="BJ209" s="188"/>
      <c r="BK209" s="188"/>
      <c r="BL209" s="188"/>
      <c r="BM209" s="188"/>
      <c r="BN209" s="188"/>
      <c r="BO209" s="188"/>
      <c r="BP209" s="188"/>
      <c r="BQ209" s="188"/>
      <c r="BR209" s="188"/>
      <c r="BS209" s="188"/>
      <c r="BT209" s="189"/>
      <c r="BU209" s="188"/>
      <c r="BV209" s="234"/>
      <c r="BW209" s="234"/>
      <c r="BX209" s="188"/>
      <c r="BY209" s="188"/>
      <c r="BZ209" s="188"/>
      <c r="CA209" s="188"/>
      <c r="CB209" s="188"/>
      <c r="CC209" s="778"/>
      <c r="CD209" s="15"/>
      <c r="CE209" s="15"/>
      <c r="CF209" s="15"/>
      <c r="CG209" s="15"/>
      <c r="CH209" s="241"/>
      <c r="CI209" s="241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419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734"/>
      <c r="DV209" s="734"/>
      <c r="DW209" s="33"/>
      <c r="DX209" s="15"/>
      <c r="DY209" s="734"/>
      <c r="DZ209" s="15"/>
      <c r="EA209" s="734"/>
      <c r="EB209" s="15"/>
      <c r="EC209" s="15"/>
      <c r="ED209" s="15"/>
      <c r="EE209" s="15"/>
      <c r="EF209" s="15"/>
      <c r="EG209" s="734"/>
      <c r="EH209" s="734"/>
      <c r="EI209" s="15"/>
      <c r="EJ209" s="734"/>
      <c r="EK209" s="734"/>
      <c r="EL209" s="734"/>
      <c r="EM209" s="15"/>
      <c r="EN209" s="734"/>
      <c r="EO209" s="734"/>
      <c r="EP209" s="15"/>
      <c r="EQ209" s="734"/>
      <c r="ER209" s="734"/>
      <c r="ES209" s="33"/>
      <c r="ET209" s="734"/>
      <c r="EU209" s="734"/>
      <c r="EV209" s="15"/>
      <c r="EW209" s="734"/>
      <c r="EX209" s="734"/>
      <c r="EY209" s="15"/>
      <c r="EZ209" s="734"/>
      <c r="FA209" s="734"/>
      <c r="FB209" s="15"/>
      <c r="FC209" s="734"/>
      <c r="FD209" s="734"/>
      <c r="FE209" s="15"/>
      <c r="FF209" s="734"/>
      <c r="FG209" s="734"/>
      <c r="FH209" s="15"/>
      <c r="FI209" s="734"/>
      <c r="FJ209" s="734"/>
      <c r="FK209" s="15"/>
      <c r="FL209" s="734"/>
      <c r="FM209" s="734"/>
      <c r="FN209" s="734"/>
      <c r="FO209" s="734"/>
      <c r="FP209" s="734"/>
      <c r="FQ209" s="15"/>
      <c r="FR209" s="734"/>
      <c r="FS209" s="734"/>
      <c r="FT209" s="766"/>
      <c r="FU209" s="766"/>
      <c r="FV209" s="766"/>
      <c r="FW209" s="766"/>
      <c r="GA209" s="758"/>
      <c r="GB209" s="758"/>
      <c r="GD209" s="188"/>
      <c r="GE209" s="825"/>
      <c r="GF209" s="15"/>
      <c r="GG209" s="15"/>
      <c r="GH209" s="15"/>
      <c r="GI209" s="15"/>
      <c r="GJ209" s="15"/>
      <c r="GK209" s="15"/>
      <c r="GL209" s="15"/>
      <c r="GM209" s="15"/>
      <c r="GN209" s="15"/>
      <c r="GO209" s="15"/>
      <c r="GP209" s="15"/>
      <c r="GQ209" s="15"/>
      <c r="GR209" s="15"/>
      <c r="GS209" s="15"/>
      <c r="GT209" s="15"/>
      <c r="GU209" s="15"/>
      <c r="GV209" s="15"/>
      <c r="GW209" s="15"/>
      <c r="GX209" s="15"/>
      <c r="GY209" s="15"/>
      <c r="GZ209" s="896"/>
      <c r="HA209" s="15"/>
      <c r="HB209" s="15"/>
      <c r="HC209" s="15"/>
      <c r="HD209" s="15"/>
      <c r="HE209" s="15"/>
      <c r="HF209" s="15"/>
      <c r="HG209" s="15"/>
      <c r="HH209" s="15"/>
      <c r="HI209" s="15"/>
      <c r="HJ209" s="15"/>
      <c r="HK209" s="15"/>
      <c r="HL209" s="15"/>
      <c r="HM209" s="15"/>
      <c r="HN209" s="15"/>
      <c r="HO209" s="15"/>
      <c r="HP209" s="15"/>
      <c r="HQ209" s="15"/>
      <c r="HR209" s="15"/>
      <c r="HS209" s="15"/>
      <c r="HT209" s="15"/>
      <c r="HU209" s="15"/>
      <c r="HV209" s="15"/>
      <c r="HW209" s="15"/>
      <c r="HX209" s="15"/>
      <c r="HY209" s="15"/>
      <c r="HZ209" s="15"/>
      <c r="IA209" s="15"/>
      <c r="IB209" s="15"/>
      <c r="IC209" s="15"/>
      <c r="ID209" s="15"/>
      <c r="IE209" s="15"/>
      <c r="IF209" s="15"/>
      <c r="IG209" s="15"/>
      <c r="IH209" s="15"/>
      <c r="II209" s="15"/>
      <c r="IJ209" s="15"/>
      <c r="IK209" s="15"/>
      <c r="IL209" s="15"/>
      <c r="IM209" s="15"/>
      <c r="IN209" s="15"/>
      <c r="IO209" s="15"/>
      <c r="IP209" s="15"/>
      <c r="IQ209" s="15"/>
      <c r="IR209" s="15"/>
      <c r="IS209" s="15"/>
      <c r="IT209" s="15"/>
      <c r="IU209" s="15"/>
      <c r="IV209" s="15"/>
      <c r="IW209" s="15"/>
      <c r="IX209" s="15"/>
      <c r="IY209" s="15"/>
      <c r="IZ209" s="15"/>
      <c r="JA209" s="15"/>
      <c r="JB209" s="15"/>
      <c r="JC209" s="15"/>
      <c r="JD209" s="15"/>
      <c r="JE209" s="15"/>
      <c r="JF209" s="15"/>
      <c r="JG209" s="15"/>
    </row>
    <row r="210" spans="1:267" s="45" customFormat="1" ht="15.75" thickBot="1">
      <c r="A210" s="433"/>
      <c r="B210" s="33">
        <v>2011</v>
      </c>
      <c r="C210" s="33">
        <v>2012</v>
      </c>
      <c r="D210" s="33">
        <v>2013</v>
      </c>
      <c r="E210" s="33">
        <v>2014</v>
      </c>
      <c r="F210" s="33">
        <v>2015</v>
      </c>
      <c r="G210" s="15"/>
      <c r="H210" s="15"/>
      <c r="I210" s="15"/>
      <c r="J210" s="15"/>
      <c r="K210" s="336"/>
      <c r="L210" s="207"/>
      <c r="M210" s="207"/>
      <c r="N210" s="207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1"/>
      <c r="AS210" s="32"/>
      <c r="AT210" s="15"/>
      <c r="AU210" s="15"/>
      <c r="AV210" s="15"/>
      <c r="AW210" s="15"/>
      <c r="AX210" s="15"/>
      <c r="AY210" s="188"/>
      <c r="AZ210" s="188"/>
      <c r="BA210" s="188"/>
      <c r="BB210" s="188"/>
      <c r="BC210" s="188"/>
      <c r="BD210" s="188"/>
      <c r="BE210" s="188"/>
      <c r="BF210" s="188"/>
      <c r="BG210" s="188"/>
      <c r="BH210" s="188"/>
      <c r="BI210" s="188"/>
      <c r="BJ210" s="188"/>
      <c r="BK210" s="188"/>
      <c r="BL210" s="188"/>
      <c r="BM210" s="188"/>
      <c r="BN210" s="188"/>
      <c r="BO210" s="188"/>
      <c r="BP210" s="188"/>
      <c r="BQ210" s="188"/>
      <c r="BR210" s="188"/>
      <c r="BS210" s="188"/>
      <c r="BT210" s="189"/>
      <c r="BU210" s="188"/>
      <c r="BV210" s="234"/>
      <c r="BW210" s="234"/>
      <c r="BX210" s="188"/>
      <c r="BY210" s="188"/>
      <c r="BZ210" s="188"/>
      <c r="CA210" s="188"/>
      <c r="CB210" s="188"/>
      <c r="CC210" s="778"/>
      <c r="CD210" s="15"/>
      <c r="CE210" s="15"/>
      <c r="CF210" s="15"/>
      <c r="CG210" s="15"/>
      <c r="CH210" s="241"/>
      <c r="CI210" s="241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419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734"/>
      <c r="DV210" s="734"/>
      <c r="DW210" s="33"/>
      <c r="DX210" s="15"/>
      <c r="DY210" s="734"/>
      <c r="DZ210" s="15"/>
      <c r="EA210" s="734"/>
      <c r="EB210" s="15"/>
      <c r="EC210" s="15"/>
      <c r="ED210" s="15"/>
      <c r="EE210" s="15"/>
      <c r="EF210" s="15"/>
      <c r="EG210" s="734"/>
      <c r="EH210" s="734"/>
      <c r="EI210" s="15"/>
      <c r="EJ210" s="734"/>
      <c r="EK210" s="734"/>
      <c r="EL210" s="734"/>
      <c r="EM210" s="15"/>
      <c r="EN210" s="734"/>
      <c r="EO210" s="734"/>
      <c r="EP210" s="15"/>
      <c r="EQ210" s="734"/>
      <c r="ER210" s="734"/>
      <c r="ES210" s="33"/>
      <c r="ET210" s="734"/>
      <c r="EU210" s="734"/>
      <c r="EV210" s="15"/>
      <c r="EW210" s="734"/>
      <c r="EX210" s="734"/>
      <c r="EY210" s="15"/>
      <c r="EZ210" s="734"/>
      <c r="FA210" s="734"/>
      <c r="FB210" s="15"/>
      <c r="FC210" s="734"/>
      <c r="FD210" s="734"/>
      <c r="FE210" s="15"/>
      <c r="FF210" s="734"/>
      <c r="FG210" s="734"/>
      <c r="FH210" s="15"/>
      <c r="FI210" s="734"/>
      <c r="FJ210" s="734"/>
      <c r="FK210" s="15"/>
      <c r="FL210" s="734"/>
      <c r="FM210" s="734"/>
      <c r="FN210" s="734"/>
      <c r="FO210" s="734"/>
      <c r="FP210" s="734"/>
      <c r="FQ210" s="15"/>
      <c r="FR210" s="734"/>
      <c r="FS210" s="734"/>
      <c r="FT210" s="766"/>
      <c r="FU210" s="766"/>
      <c r="FV210" s="766"/>
      <c r="FW210" s="766"/>
      <c r="GA210" s="758"/>
      <c r="GB210" s="758"/>
      <c r="GD210" s="188"/>
      <c r="GE210" s="825"/>
      <c r="GF210" s="15"/>
      <c r="GG210" s="15"/>
      <c r="GH210" s="15"/>
      <c r="GI210" s="15"/>
      <c r="GJ210" s="15"/>
      <c r="GK210" s="15"/>
      <c r="GL210" s="15"/>
      <c r="GM210" s="15"/>
      <c r="GN210" s="15"/>
      <c r="GO210" s="15"/>
      <c r="GP210" s="15"/>
      <c r="GQ210" s="15"/>
      <c r="GR210" s="15"/>
      <c r="GS210" s="15"/>
      <c r="GT210" s="15"/>
      <c r="GU210" s="15"/>
      <c r="GV210" s="15"/>
      <c r="GW210" s="15"/>
      <c r="GX210" s="15"/>
      <c r="GY210" s="15"/>
      <c r="GZ210" s="896"/>
      <c r="HA210" s="15"/>
      <c r="HB210" s="15"/>
      <c r="HC210" s="15"/>
      <c r="HD210" s="15"/>
      <c r="HE210" s="15"/>
      <c r="HF210" s="15"/>
      <c r="HG210" s="15"/>
      <c r="HH210" s="15"/>
      <c r="HI210" s="15"/>
      <c r="HJ210" s="15"/>
      <c r="HK210" s="15"/>
      <c r="HL210" s="15"/>
      <c r="HM210" s="15"/>
      <c r="HN210" s="15"/>
      <c r="HO210" s="15"/>
      <c r="HP210" s="15"/>
      <c r="HQ210" s="15"/>
      <c r="HR210" s="15"/>
      <c r="HS210" s="15"/>
      <c r="HT210" s="15"/>
      <c r="HU210" s="15"/>
      <c r="HV210" s="15"/>
      <c r="HW210" s="15"/>
      <c r="HX210" s="15"/>
      <c r="HY210" s="15"/>
      <c r="HZ210" s="15"/>
      <c r="IA210" s="15"/>
      <c r="IB210" s="15"/>
      <c r="IC210" s="15"/>
      <c r="ID210" s="15"/>
      <c r="IE210" s="15"/>
      <c r="IF210" s="15"/>
      <c r="IG210" s="15"/>
      <c r="IH210" s="15"/>
      <c r="II210" s="15"/>
      <c r="IJ210" s="15"/>
      <c r="IK210" s="15"/>
      <c r="IL210" s="15"/>
      <c r="IM210" s="15"/>
      <c r="IN210" s="15"/>
      <c r="IO210" s="15"/>
      <c r="IP210" s="15"/>
      <c r="IQ210" s="15"/>
      <c r="IR210" s="15"/>
      <c r="IS210" s="15"/>
      <c r="IT210" s="15"/>
      <c r="IU210" s="15"/>
      <c r="IV210" s="15"/>
      <c r="IW210" s="15"/>
      <c r="IX210" s="15"/>
      <c r="IY210" s="15"/>
      <c r="IZ210" s="15"/>
      <c r="JA210" s="15"/>
      <c r="JB210" s="15"/>
      <c r="JC210" s="15"/>
      <c r="JD210" s="15"/>
      <c r="JE210" s="15"/>
      <c r="JF210" s="15"/>
      <c r="JG210" s="15"/>
    </row>
    <row r="211" spans="1:267" s="45" customFormat="1">
      <c r="A211" s="436" t="s">
        <v>68</v>
      </c>
      <c r="B211" s="161">
        <f t="shared" ref="B211:B216" si="474">SUMPRODUCT((Notaire=A211)*(Prog=$B$210))</f>
        <v>0</v>
      </c>
      <c r="C211" s="161">
        <f t="shared" ref="C211:C216" si="475">SUMPRODUCT((Notaire=A211)*(Prog=$C$210))</f>
        <v>0</v>
      </c>
      <c r="D211" s="161">
        <f t="shared" ref="D211:D216" si="476">SUMPRODUCT((Notaire=A211)*(Prog=$D$210))</f>
        <v>0</v>
      </c>
      <c r="E211" s="161">
        <f t="shared" ref="E211:E216" si="477">SUMPRODUCT((Notaire=A211)*(Prog=$E$210))</f>
        <v>2</v>
      </c>
      <c r="F211" s="161">
        <f t="shared" ref="F211:F216" si="478">SUMPRODUCT((Notaire=A211)*(Prog=$F$210))</f>
        <v>1</v>
      </c>
      <c r="G211" s="15"/>
      <c r="H211" s="15"/>
      <c r="I211" s="15"/>
      <c r="J211" s="15"/>
      <c r="K211" s="336"/>
      <c r="L211" s="207"/>
      <c r="M211" s="207"/>
      <c r="N211" s="207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1"/>
      <c r="AS211" s="32"/>
      <c r="AT211" s="15"/>
      <c r="AU211" s="15"/>
      <c r="AV211" s="15"/>
      <c r="AW211" s="15"/>
      <c r="AX211" s="15"/>
      <c r="AY211" s="188"/>
      <c r="AZ211" s="188"/>
      <c r="BA211" s="188"/>
      <c r="BB211" s="188"/>
      <c r="BC211" s="188"/>
      <c r="BD211" s="188"/>
      <c r="BE211" s="188"/>
      <c r="BF211" s="188"/>
      <c r="BG211" s="188"/>
      <c r="BH211" s="188"/>
      <c r="BI211" s="188"/>
      <c r="BJ211" s="188"/>
      <c r="BK211" s="188"/>
      <c r="BL211" s="188"/>
      <c r="BM211" s="188"/>
      <c r="BN211" s="188"/>
      <c r="BO211" s="188"/>
      <c r="BP211" s="188"/>
      <c r="BQ211" s="188"/>
      <c r="BR211" s="188"/>
      <c r="BS211" s="188"/>
      <c r="BT211" s="189"/>
      <c r="BU211" s="188"/>
      <c r="BV211" s="234"/>
      <c r="BW211" s="234"/>
      <c r="BX211" s="188"/>
      <c r="BY211" s="188"/>
      <c r="BZ211" s="188"/>
      <c r="CA211" s="188"/>
      <c r="CB211" s="188"/>
      <c r="CC211" s="778"/>
      <c r="CD211" s="15"/>
      <c r="CE211" s="15"/>
      <c r="CF211" s="15"/>
      <c r="CG211" s="15"/>
      <c r="CH211" s="241"/>
      <c r="CI211" s="241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419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734"/>
      <c r="DV211" s="734"/>
      <c r="DW211" s="33"/>
      <c r="DX211" s="15"/>
      <c r="DY211" s="734"/>
      <c r="DZ211" s="15"/>
      <c r="EA211" s="734"/>
      <c r="EB211" s="15"/>
      <c r="EC211" s="15"/>
      <c r="ED211" s="15"/>
      <c r="EE211" s="15"/>
      <c r="EF211" s="15"/>
      <c r="EG211" s="734"/>
      <c r="EH211" s="734"/>
      <c r="EI211" s="15"/>
      <c r="EJ211" s="734"/>
      <c r="EK211" s="734"/>
      <c r="EL211" s="734"/>
      <c r="EM211" s="15"/>
      <c r="EN211" s="734"/>
      <c r="EO211" s="734"/>
      <c r="EP211" s="15"/>
      <c r="EQ211" s="734"/>
      <c r="ER211" s="734"/>
      <c r="ES211" s="33"/>
      <c r="ET211" s="734"/>
      <c r="EU211" s="734"/>
      <c r="EV211" s="15"/>
      <c r="EW211" s="734"/>
      <c r="EX211" s="734"/>
      <c r="EY211" s="15"/>
      <c r="EZ211" s="734"/>
      <c r="FA211" s="734"/>
      <c r="FB211" s="15"/>
      <c r="FC211" s="734"/>
      <c r="FD211" s="734"/>
      <c r="FE211" s="15"/>
      <c r="FF211" s="734"/>
      <c r="FG211" s="734"/>
      <c r="FH211" s="15"/>
      <c r="FI211" s="734"/>
      <c r="FJ211" s="734"/>
      <c r="FK211" s="15"/>
      <c r="FL211" s="734"/>
      <c r="FM211" s="734"/>
      <c r="FN211" s="734"/>
      <c r="FO211" s="734"/>
      <c r="FP211" s="734"/>
      <c r="FQ211" s="15"/>
      <c r="FR211" s="734"/>
      <c r="FS211" s="734"/>
      <c r="FT211" s="766"/>
      <c r="FU211" s="766"/>
      <c r="FV211" s="766"/>
      <c r="FW211" s="766"/>
      <c r="GA211" s="758"/>
      <c r="GB211" s="758"/>
      <c r="GD211" s="188"/>
      <c r="GE211" s="825"/>
      <c r="GF211" s="15"/>
      <c r="GG211" s="15"/>
      <c r="GH211" s="15"/>
      <c r="GI211" s="15"/>
      <c r="GJ211" s="15"/>
      <c r="GK211" s="15"/>
      <c r="GL211" s="15"/>
      <c r="GM211" s="15"/>
      <c r="GN211" s="15"/>
      <c r="GO211" s="15"/>
      <c r="GP211" s="15"/>
      <c r="GQ211" s="15"/>
      <c r="GR211" s="15"/>
      <c r="GS211" s="15"/>
      <c r="GT211" s="15"/>
      <c r="GU211" s="15"/>
      <c r="GV211" s="15"/>
      <c r="GW211" s="15"/>
      <c r="GX211" s="15"/>
      <c r="GY211" s="15"/>
      <c r="GZ211" s="896"/>
      <c r="HA211" s="15"/>
      <c r="HB211" s="15"/>
      <c r="HC211" s="15"/>
      <c r="HD211" s="15"/>
      <c r="HE211" s="15"/>
      <c r="HF211" s="15"/>
      <c r="HG211" s="15"/>
      <c r="HH211" s="15"/>
      <c r="HI211" s="15"/>
      <c r="HJ211" s="15"/>
      <c r="HK211" s="15"/>
      <c r="HL211" s="15"/>
      <c r="HM211" s="15"/>
      <c r="HN211" s="15"/>
      <c r="HO211" s="15"/>
      <c r="HP211" s="15"/>
      <c r="HQ211" s="15"/>
      <c r="HR211" s="15"/>
      <c r="HS211" s="15"/>
      <c r="HT211" s="15"/>
      <c r="HU211" s="15"/>
      <c r="HV211" s="15"/>
      <c r="HW211" s="15"/>
      <c r="HX211" s="15"/>
      <c r="HY211" s="15"/>
      <c r="HZ211" s="15"/>
      <c r="IA211" s="15"/>
      <c r="IB211" s="15"/>
      <c r="IC211" s="15"/>
      <c r="ID211" s="15"/>
      <c r="IE211" s="15"/>
      <c r="IF211" s="15"/>
      <c r="IG211" s="15"/>
      <c r="IH211" s="15"/>
      <c r="II211" s="15"/>
      <c r="IJ211" s="15"/>
      <c r="IK211" s="15"/>
      <c r="IL211" s="15"/>
      <c r="IM211" s="15"/>
      <c r="IN211" s="15"/>
      <c r="IO211" s="15"/>
      <c r="IP211" s="15"/>
      <c r="IQ211" s="15"/>
      <c r="IR211" s="15"/>
      <c r="IS211" s="15"/>
      <c r="IT211" s="15"/>
      <c r="IU211" s="15"/>
      <c r="IV211" s="15"/>
      <c r="IW211" s="15"/>
      <c r="IX211" s="15"/>
      <c r="IY211" s="15"/>
      <c r="IZ211" s="15"/>
      <c r="JA211" s="15"/>
      <c r="JB211" s="15"/>
      <c r="JC211" s="15"/>
      <c r="JD211" s="15"/>
      <c r="JE211" s="15"/>
      <c r="JF211" s="15"/>
      <c r="JG211" s="15"/>
    </row>
    <row r="212" spans="1:267" s="45" customFormat="1">
      <c r="A212" s="437" t="s">
        <v>186</v>
      </c>
      <c r="B212" s="162">
        <f t="shared" si="474"/>
        <v>1</v>
      </c>
      <c r="C212" s="162">
        <f t="shared" si="475"/>
        <v>0</v>
      </c>
      <c r="D212" s="162">
        <f t="shared" si="476"/>
        <v>0</v>
      </c>
      <c r="E212" s="162">
        <f t="shared" si="477"/>
        <v>0</v>
      </c>
      <c r="F212" s="162">
        <f t="shared" si="478"/>
        <v>0</v>
      </c>
      <c r="G212" s="15"/>
      <c r="H212" s="15"/>
      <c r="I212" s="15"/>
      <c r="J212" s="15"/>
      <c r="K212" s="336"/>
      <c r="L212" s="207"/>
      <c r="M212" s="207"/>
      <c r="N212" s="207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1"/>
      <c r="AS212" s="32"/>
      <c r="AT212" s="15"/>
      <c r="AU212" s="15"/>
      <c r="AV212" s="15"/>
      <c r="AW212" s="15"/>
      <c r="AX212" s="15"/>
      <c r="AY212" s="188"/>
      <c r="AZ212" s="188"/>
      <c r="BA212" s="188"/>
      <c r="BB212" s="188"/>
      <c r="BC212" s="188"/>
      <c r="BD212" s="188"/>
      <c r="BE212" s="188"/>
      <c r="BF212" s="188"/>
      <c r="BG212" s="188"/>
      <c r="BH212" s="188"/>
      <c r="BI212" s="188"/>
      <c r="BJ212" s="188"/>
      <c r="BK212" s="188"/>
      <c r="BL212" s="188"/>
      <c r="BM212" s="188"/>
      <c r="BN212" s="188"/>
      <c r="BO212" s="188"/>
      <c r="BP212" s="188"/>
      <c r="BQ212" s="188"/>
      <c r="BR212" s="188"/>
      <c r="BS212" s="188"/>
      <c r="BT212" s="189"/>
      <c r="BU212" s="188"/>
      <c r="BV212" s="234"/>
      <c r="BW212" s="234"/>
      <c r="BX212" s="188"/>
      <c r="BY212" s="188"/>
      <c r="BZ212" s="188"/>
      <c r="CA212" s="188"/>
      <c r="CB212" s="188"/>
      <c r="CC212" s="778"/>
      <c r="CD212" s="15"/>
      <c r="CE212" s="15"/>
      <c r="CF212" s="15"/>
      <c r="CG212" s="15"/>
      <c r="CH212" s="241"/>
      <c r="CI212" s="241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419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734"/>
      <c r="DV212" s="734"/>
      <c r="DW212" s="33"/>
      <c r="DX212" s="15"/>
      <c r="DY212" s="734"/>
      <c r="DZ212" s="15"/>
      <c r="EA212" s="734"/>
      <c r="EB212" s="15"/>
      <c r="EC212" s="15"/>
      <c r="ED212" s="15"/>
      <c r="EE212" s="15"/>
      <c r="EF212" s="15"/>
      <c r="EG212" s="734"/>
      <c r="EH212" s="734"/>
      <c r="EI212" s="15"/>
      <c r="EJ212" s="734"/>
      <c r="EK212" s="734"/>
      <c r="EL212" s="734"/>
      <c r="EM212" s="15"/>
      <c r="EN212" s="734"/>
      <c r="EO212" s="734"/>
      <c r="EP212" s="15"/>
      <c r="EQ212" s="734"/>
      <c r="ER212" s="734"/>
      <c r="ES212" s="33"/>
      <c r="ET212" s="734"/>
      <c r="EU212" s="734"/>
      <c r="EV212" s="15"/>
      <c r="EW212" s="734"/>
      <c r="EX212" s="734"/>
      <c r="EY212" s="15"/>
      <c r="EZ212" s="734"/>
      <c r="FA212" s="734"/>
      <c r="FB212" s="15"/>
      <c r="FC212" s="734"/>
      <c r="FD212" s="734"/>
      <c r="FE212" s="15"/>
      <c r="FF212" s="734"/>
      <c r="FG212" s="734"/>
      <c r="FH212" s="15"/>
      <c r="FI212" s="734"/>
      <c r="FJ212" s="734"/>
      <c r="FK212" s="15"/>
      <c r="FL212" s="734"/>
      <c r="FM212" s="734"/>
      <c r="FN212" s="734"/>
      <c r="FO212" s="734"/>
      <c r="FP212" s="734"/>
      <c r="FQ212" s="15"/>
      <c r="FR212" s="734"/>
      <c r="FS212" s="734"/>
      <c r="FT212" s="766"/>
      <c r="FU212" s="766"/>
      <c r="FV212" s="766"/>
      <c r="FW212" s="766"/>
      <c r="GA212" s="758"/>
      <c r="GB212" s="758"/>
      <c r="GD212" s="188"/>
      <c r="GE212" s="825"/>
      <c r="GF212" s="15"/>
      <c r="GG212" s="15"/>
      <c r="GH212" s="15"/>
      <c r="GI212" s="15"/>
      <c r="GJ212" s="15"/>
      <c r="GK212" s="15"/>
      <c r="GL212" s="15"/>
      <c r="GM212" s="15"/>
      <c r="GN212" s="15"/>
      <c r="GO212" s="15"/>
      <c r="GP212" s="15"/>
      <c r="GQ212" s="15"/>
      <c r="GR212" s="15"/>
      <c r="GS212" s="15"/>
      <c r="GT212" s="15"/>
      <c r="GU212" s="15"/>
      <c r="GV212" s="15"/>
      <c r="GW212" s="15"/>
      <c r="GX212" s="15"/>
      <c r="GY212" s="15"/>
      <c r="GZ212" s="896"/>
      <c r="HA212" s="15"/>
      <c r="HB212" s="15"/>
      <c r="HC212" s="15"/>
      <c r="HD212" s="15"/>
      <c r="HE212" s="15"/>
      <c r="HF212" s="15"/>
      <c r="HG212" s="15"/>
      <c r="HH212" s="15"/>
      <c r="HI212" s="15"/>
      <c r="HJ212" s="15"/>
      <c r="HK212" s="15"/>
      <c r="HL212" s="15"/>
      <c r="HM212" s="15"/>
      <c r="HN212" s="15"/>
      <c r="HO212" s="15"/>
      <c r="HP212" s="15"/>
      <c r="HQ212" s="15"/>
      <c r="HR212" s="15"/>
      <c r="HS212" s="15"/>
      <c r="HT212" s="15"/>
      <c r="HU212" s="15"/>
      <c r="HV212" s="15"/>
      <c r="HW212" s="15"/>
      <c r="HX212" s="15"/>
      <c r="HY212" s="15"/>
      <c r="HZ212" s="15"/>
      <c r="IA212" s="15"/>
      <c r="IB212" s="15"/>
      <c r="IC212" s="15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"/>
      <c r="JB212" s="15"/>
      <c r="JC212" s="15"/>
      <c r="JD212" s="15"/>
      <c r="JE212" s="15"/>
      <c r="JF212" s="15"/>
      <c r="JG212" s="15"/>
    </row>
    <row r="213" spans="1:267" s="45" customFormat="1">
      <c r="A213" s="437" t="s">
        <v>145</v>
      </c>
      <c r="B213" s="162">
        <f t="shared" si="474"/>
        <v>1</v>
      </c>
      <c r="C213" s="162">
        <f t="shared" si="475"/>
        <v>3</v>
      </c>
      <c r="D213" s="162">
        <f t="shared" si="476"/>
        <v>3</v>
      </c>
      <c r="E213" s="162">
        <f t="shared" si="477"/>
        <v>1</v>
      </c>
      <c r="F213" s="162">
        <f t="shared" si="478"/>
        <v>3</v>
      </c>
      <c r="G213" s="15"/>
      <c r="H213" s="15"/>
      <c r="I213" s="15"/>
      <c r="J213" s="15"/>
      <c r="K213" s="336"/>
      <c r="L213" s="207"/>
      <c r="M213" s="207"/>
      <c r="N213" s="207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1"/>
      <c r="AS213" s="32"/>
      <c r="AT213" s="15"/>
      <c r="AU213" s="15"/>
      <c r="AV213" s="15"/>
      <c r="AW213" s="15"/>
      <c r="AX213" s="15"/>
      <c r="AY213" s="188"/>
      <c r="AZ213" s="188"/>
      <c r="BA213" s="188"/>
      <c r="BB213" s="188"/>
      <c r="BC213" s="188"/>
      <c r="BD213" s="188"/>
      <c r="BE213" s="188"/>
      <c r="BF213" s="188"/>
      <c r="BG213" s="188"/>
      <c r="BH213" s="188"/>
      <c r="BI213" s="188"/>
      <c r="BJ213" s="188"/>
      <c r="BK213" s="188"/>
      <c r="BL213" s="188"/>
      <c r="BM213" s="188"/>
      <c r="BN213" s="188"/>
      <c r="BO213" s="188"/>
      <c r="BP213" s="188"/>
      <c r="BQ213" s="188"/>
      <c r="BR213" s="188"/>
      <c r="BS213" s="188"/>
      <c r="BT213" s="189"/>
      <c r="BU213" s="188"/>
      <c r="BV213" s="234"/>
      <c r="BW213" s="234"/>
      <c r="BX213" s="188"/>
      <c r="BY213" s="188"/>
      <c r="BZ213" s="188"/>
      <c r="CA213" s="188"/>
      <c r="CB213" s="188"/>
      <c r="CC213" s="778"/>
      <c r="CD213" s="15"/>
      <c r="CE213" s="15"/>
      <c r="CF213" s="15"/>
      <c r="CG213" s="15"/>
      <c r="CH213" s="241"/>
      <c r="CI213" s="241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419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734"/>
      <c r="DV213" s="734"/>
      <c r="DW213" s="33"/>
      <c r="DX213" s="15"/>
      <c r="DY213" s="734"/>
      <c r="DZ213" s="15"/>
      <c r="EA213" s="734"/>
      <c r="EB213" s="15"/>
      <c r="EC213" s="15"/>
      <c r="ED213" s="15"/>
      <c r="EE213" s="15"/>
      <c r="EF213" s="15"/>
      <c r="EG213" s="734"/>
      <c r="EH213" s="734"/>
      <c r="EI213" s="15"/>
      <c r="EJ213" s="734"/>
      <c r="EK213" s="734"/>
      <c r="EL213" s="734"/>
      <c r="EM213" s="15"/>
      <c r="EN213" s="734"/>
      <c r="EO213" s="734"/>
      <c r="EP213" s="15"/>
      <c r="EQ213" s="734"/>
      <c r="ER213" s="734"/>
      <c r="ES213" s="33"/>
      <c r="ET213" s="734"/>
      <c r="EU213" s="734"/>
      <c r="EV213" s="15"/>
      <c r="EW213" s="734"/>
      <c r="EX213" s="734"/>
      <c r="EY213" s="15"/>
      <c r="EZ213" s="734"/>
      <c r="FA213" s="734"/>
      <c r="FB213" s="15"/>
      <c r="FC213" s="734"/>
      <c r="FD213" s="734"/>
      <c r="FE213" s="15"/>
      <c r="FF213" s="734"/>
      <c r="FG213" s="734"/>
      <c r="FH213" s="15"/>
      <c r="FI213" s="734"/>
      <c r="FJ213" s="734"/>
      <c r="FK213" s="15"/>
      <c r="FL213" s="734"/>
      <c r="FM213" s="734"/>
      <c r="FN213" s="734"/>
      <c r="FO213" s="734"/>
      <c r="FP213" s="734"/>
      <c r="FQ213" s="15"/>
      <c r="FR213" s="734"/>
      <c r="FS213" s="734"/>
      <c r="FT213" s="766"/>
      <c r="FU213" s="766"/>
      <c r="FV213" s="766"/>
      <c r="FW213" s="766"/>
      <c r="GA213" s="758"/>
      <c r="GB213" s="758"/>
      <c r="GD213" s="188"/>
      <c r="GE213" s="825"/>
      <c r="GF213" s="15"/>
      <c r="GG213" s="15"/>
      <c r="GH213" s="15"/>
      <c r="GI213" s="15"/>
      <c r="GJ213" s="15"/>
      <c r="GK213" s="15"/>
      <c r="GL213" s="15"/>
      <c r="GM213" s="15"/>
      <c r="GN213" s="15"/>
      <c r="GO213" s="15"/>
      <c r="GP213" s="15"/>
      <c r="GQ213" s="15"/>
      <c r="GR213" s="15"/>
      <c r="GS213" s="15"/>
      <c r="GT213" s="15"/>
      <c r="GU213" s="15"/>
      <c r="GV213" s="15"/>
      <c r="GW213" s="15"/>
      <c r="GX213" s="15"/>
      <c r="GY213" s="15"/>
      <c r="GZ213" s="896"/>
      <c r="HA213" s="15"/>
      <c r="HB213" s="15"/>
      <c r="HC213" s="15"/>
      <c r="HD213" s="15"/>
      <c r="HE213" s="15"/>
      <c r="HF213" s="15"/>
      <c r="HG213" s="15"/>
      <c r="HH213" s="15"/>
      <c r="HI213" s="15"/>
      <c r="HJ213" s="15"/>
      <c r="HK213" s="15"/>
      <c r="HL213" s="15"/>
      <c r="HM213" s="15"/>
      <c r="HN213" s="15"/>
      <c r="HO213" s="15"/>
      <c r="HP213" s="15"/>
      <c r="HQ213" s="15"/>
      <c r="HR213" s="15"/>
      <c r="HS213" s="15"/>
      <c r="HT213" s="15"/>
      <c r="HU213" s="15"/>
      <c r="HV213" s="15"/>
      <c r="HW213" s="15"/>
      <c r="HX213" s="15"/>
      <c r="HY213" s="15"/>
      <c r="HZ213" s="15"/>
      <c r="IA213" s="15"/>
      <c r="IB213" s="15"/>
      <c r="IC213" s="15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"/>
      <c r="JB213" s="15"/>
      <c r="JC213" s="15"/>
      <c r="JD213" s="15"/>
      <c r="JE213" s="15"/>
      <c r="JF213" s="15"/>
      <c r="JG213" s="15"/>
    </row>
    <row r="214" spans="1:267" s="45" customFormat="1">
      <c r="A214" s="437" t="s">
        <v>139</v>
      </c>
      <c r="B214" s="162">
        <f t="shared" si="474"/>
        <v>1</v>
      </c>
      <c r="C214" s="162">
        <f t="shared" si="475"/>
        <v>1</v>
      </c>
      <c r="D214" s="162">
        <f t="shared" si="476"/>
        <v>2</v>
      </c>
      <c r="E214" s="162">
        <f t="shared" si="477"/>
        <v>1</v>
      </c>
      <c r="F214" s="162">
        <f t="shared" si="478"/>
        <v>0</v>
      </c>
      <c r="G214" s="15"/>
      <c r="H214" s="15"/>
      <c r="I214" s="15"/>
      <c r="J214" s="15"/>
      <c r="K214" s="336"/>
      <c r="L214" s="207"/>
      <c r="M214" s="207"/>
      <c r="N214" s="207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1"/>
      <c r="AS214" s="32"/>
      <c r="AT214" s="15"/>
      <c r="AU214" s="15"/>
      <c r="AV214" s="15"/>
      <c r="AW214" s="15"/>
      <c r="AX214" s="15"/>
      <c r="AY214" s="188"/>
      <c r="AZ214" s="188"/>
      <c r="BA214" s="188"/>
      <c r="BB214" s="188"/>
      <c r="BC214" s="188"/>
      <c r="BD214" s="188"/>
      <c r="BE214" s="188"/>
      <c r="BF214" s="188"/>
      <c r="BG214" s="188"/>
      <c r="BH214" s="188"/>
      <c r="BI214" s="188"/>
      <c r="BJ214" s="188"/>
      <c r="BK214" s="188"/>
      <c r="BL214" s="188"/>
      <c r="BM214" s="188"/>
      <c r="BN214" s="188"/>
      <c r="BO214" s="188"/>
      <c r="BP214" s="188"/>
      <c r="BQ214" s="188"/>
      <c r="BR214" s="188"/>
      <c r="BS214" s="188"/>
      <c r="BT214" s="189"/>
      <c r="BU214" s="188"/>
      <c r="BV214" s="234"/>
      <c r="BW214" s="234"/>
      <c r="BX214" s="188"/>
      <c r="BY214" s="188"/>
      <c r="BZ214" s="188"/>
      <c r="CA214" s="188"/>
      <c r="CB214" s="188"/>
      <c r="CC214" s="778"/>
      <c r="CD214" s="15"/>
      <c r="CE214" s="15"/>
      <c r="CF214" s="15"/>
      <c r="CG214" s="15"/>
      <c r="CH214" s="241"/>
      <c r="CI214" s="241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419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734"/>
      <c r="DV214" s="734"/>
      <c r="DW214" s="33"/>
      <c r="DX214" s="15"/>
      <c r="DY214" s="734"/>
      <c r="DZ214" s="15"/>
      <c r="EA214" s="734"/>
      <c r="EB214" s="15"/>
      <c r="EC214" s="15"/>
      <c r="ED214" s="15"/>
      <c r="EE214" s="15"/>
      <c r="EF214" s="15"/>
      <c r="EG214" s="734"/>
      <c r="EH214" s="734"/>
      <c r="EI214" s="15"/>
      <c r="EJ214" s="734"/>
      <c r="EK214" s="734"/>
      <c r="EL214" s="734"/>
      <c r="EM214" s="15"/>
      <c r="EN214" s="734"/>
      <c r="EO214" s="734"/>
      <c r="EP214" s="15"/>
      <c r="EQ214" s="734"/>
      <c r="ER214" s="734"/>
      <c r="ES214" s="33"/>
      <c r="ET214" s="734"/>
      <c r="EU214" s="734"/>
      <c r="EV214" s="15"/>
      <c r="EW214" s="734"/>
      <c r="EX214" s="734"/>
      <c r="EY214" s="15"/>
      <c r="EZ214" s="734"/>
      <c r="FA214" s="734"/>
      <c r="FB214" s="15"/>
      <c r="FC214" s="734"/>
      <c r="FD214" s="734"/>
      <c r="FE214" s="15"/>
      <c r="FF214" s="734"/>
      <c r="FG214" s="734"/>
      <c r="FH214" s="15"/>
      <c r="FI214" s="734"/>
      <c r="FJ214" s="734"/>
      <c r="FK214" s="15"/>
      <c r="FL214" s="734"/>
      <c r="FM214" s="734"/>
      <c r="FN214" s="734"/>
      <c r="FO214" s="734"/>
      <c r="FP214" s="734"/>
      <c r="FQ214" s="15"/>
      <c r="FR214" s="734"/>
      <c r="FS214" s="734"/>
      <c r="FT214" s="766"/>
      <c r="FU214" s="766"/>
      <c r="FV214" s="766"/>
      <c r="FW214" s="766"/>
      <c r="GA214" s="758"/>
      <c r="GB214" s="758"/>
      <c r="GD214" s="188"/>
      <c r="GE214" s="825"/>
      <c r="GF214" s="15"/>
      <c r="GG214" s="15"/>
      <c r="GH214" s="15"/>
      <c r="GI214" s="15"/>
      <c r="GJ214" s="15"/>
      <c r="GK214" s="15"/>
      <c r="GL214" s="15"/>
      <c r="GM214" s="15"/>
      <c r="GN214" s="15"/>
      <c r="GO214" s="15"/>
      <c r="GP214" s="15"/>
      <c r="GQ214" s="15"/>
      <c r="GR214" s="15"/>
      <c r="GS214" s="15"/>
      <c r="GT214" s="15"/>
      <c r="GU214" s="15"/>
      <c r="GV214" s="15"/>
      <c r="GW214" s="15"/>
      <c r="GX214" s="15"/>
      <c r="GY214" s="15"/>
      <c r="GZ214" s="896"/>
      <c r="HA214" s="15"/>
      <c r="HB214" s="15"/>
      <c r="HC214" s="15"/>
      <c r="HD214" s="15"/>
      <c r="HE214" s="15"/>
      <c r="HF214" s="15"/>
      <c r="HG214" s="15"/>
      <c r="HH214" s="15"/>
      <c r="HI214" s="15"/>
      <c r="HJ214" s="15"/>
      <c r="HK214" s="15"/>
      <c r="HL214" s="15"/>
      <c r="HM214" s="15"/>
      <c r="HN214" s="15"/>
      <c r="HO214" s="15"/>
      <c r="HP214" s="15"/>
      <c r="HQ214" s="15"/>
      <c r="HR214" s="15"/>
      <c r="HS214" s="15"/>
      <c r="HT214" s="15"/>
      <c r="HU214" s="15"/>
      <c r="HV214" s="15"/>
      <c r="HW214" s="15"/>
      <c r="HX214" s="15"/>
      <c r="HY214" s="15"/>
      <c r="HZ214" s="15"/>
      <c r="IA214" s="15"/>
      <c r="IB214" s="15"/>
      <c r="IC214" s="15"/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"/>
      <c r="JB214" s="15"/>
      <c r="JC214" s="15"/>
      <c r="JD214" s="15"/>
      <c r="JE214" s="15"/>
      <c r="JF214" s="15"/>
      <c r="JG214" s="15"/>
    </row>
    <row r="215" spans="1:267" s="45" customFormat="1">
      <c r="A215" s="437" t="s">
        <v>72</v>
      </c>
      <c r="B215" s="162">
        <f t="shared" si="474"/>
        <v>1</v>
      </c>
      <c r="C215" s="162">
        <f t="shared" si="475"/>
        <v>4</v>
      </c>
      <c r="D215" s="162">
        <f t="shared" si="476"/>
        <v>2</v>
      </c>
      <c r="E215" s="162">
        <f t="shared" si="477"/>
        <v>1</v>
      </c>
      <c r="F215" s="162">
        <f t="shared" si="478"/>
        <v>2</v>
      </c>
      <c r="G215" s="15"/>
      <c r="H215" s="15"/>
      <c r="I215" s="15"/>
      <c r="J215" s="15"/>
      <c r="K215" s="336"/>
      <c r="L215" s="207"/>
      <c r="M215" s="207"/>
      <c r="N215" s="207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1"/>
      <c r="AS215" s="32"/>
      <c r="AT215" s="15"/>
      <c r="AU215" s="15"/>
      <c r="AV215" s="15"/>
      <c r="AW215" s="15"/>
      <c r="AX215" s="15"/>
      <c r="AY215" s="188"/>
      <c r="AZ215" s="188"/>
      <c r="BA215" s="188"/>
      <c r="BB215" s="188"/>
      <c r="BC215" s="188"/>
      <c r="BD215" s="188"/>
      <c r="BE215" s="188"/>
      <c r="BF215" s="188"/>
      <c r="BG215" s="188"/>
      <c r="BH215" s="188"/>
      <c r="BI215" s="188"/>
      <c r="BJ215" s="188"/>
      <c r="BK215" s="188"/>
      <c r="BL215" s="188"/>
      <c r="BM215" s="188"/>
      <c r="BN215" s="188"/>
      <c r="BO215" s="188"/>
      <c r="BP215" s="188"/>
      <c r="BQ215" s="188"/>
      <c r="BR215" s="188"/>
      <c r="BS215" s="188"/>
      <c r="BT215" s="189"/>
      <c r="BU215" s="188"/>
      <c r="BV215" s="234"/>
      <c r="BW215" s="234"/>
      <c r="BX215" s="188"/>
      <c r="BY215" s="188"/>
      <c r="BZ215" s="188"/>
      <c r="CA215" s="188"/>
      <c r="CB215" s="188"/>
      <c r="CC215" s="778"/>
      <c r="CD215" s="15"/>
      <c r="CE215" s="15"/>
      <c r="CF215" s="15"/>
      <c r="CG215" s="15"/>
      <c r="CH215" s="241"/>
      <c r="CI215" s="241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419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734"/>
      <c r="DV215" s="734"/>
      <c r="DW215" s="33"/>
      <c r="DX215" s="15"/>
      <c r="DY215" s="734"/>
      <c r="DZ215" s="15"/>
      <c r="EA215" s="734"/>
      <c r="EB215" s="15"/>
      <c r="EC215" s="15"/>
      <c r="ED215" s="15"/>
      <c r="EE215" s="15"/>
      <c r="EF215" s="15"/>
      <c r="EG215" s="734"/>
      <c r="EH215" s="734"/>
      <c r="EI215" s="15"/>
      <c r="EJ215" s="734"/>
      <c r="EK215" s="734"/>
      <c r="EL215" s="734"/>
      <c r="EM215" s="15"/>
      <c r="EN215" s="734"/>
      <c r="EO215" s="734"/>
      <c r="EP215" s="15"/>
      <c r="EQ215" s="734"/>
      <c r="ER215" s="734"/>
      <c r="ES215" s="33"/>
      <c r="ET215" s="734"/>
      <c r="EU215" s="734"/>
      <c r="EV215" s="15"/>
      <c r="EW215" s="734"/>
      <c r="EX215" s="734"/>
      <c r="EY215" s="15"/>
      <c r="EZ215" s="734"/>
      <c r="FA215" s="734"/>
      <c r="FB215" s="15"/>
      <c r="FC215" s="734"/>
      <c r="FD215" s="734"/>
      <c r="FE215" s="15"/>
      <c r="FF215" s="734"/>
      <c r="FG215" s="734"/>
      <c r="FH215" s="15"/>
      <c r="FI215" s="734"/>
      <c r="FJ215" s="734"/>
      <c r="FK215" s="15"/>
      <c r="FL215" s="734"/>
      <c r="FM215" s="734"/>
      <c r="FN215" s="734"/>
      <c r="FO215" s="734"/>
      <c r="FP215" s="734"/>
      <c r="FQ215" s="15"/>
      <c r="FR215" s="734"/>
      <c r="FS215" s="734"/>
      <c r="FT215" s="766"/>
      <c r="FU215" s="766"/>
      <c r="FV215" s="766"/>
      <c r="FW215" s="766"/>
      <c r="GA215" s="758"/>
      <c r="GB215" s="758"/>
      <c r="GD215" s="188"/>
      <c r="GE215" s="825"/>
      <c r="GF215" s="15"/>
      <c r="GG215" s="15"/>
      <c r="GH215" s="15"/>
      <c r="GI215" s="15"/>
      <c r="GJ215" s="15"/>
      <c r="GK215" s="15"/>
      <c r="GL215" s="15"/>
      <c r="GM215" s="15"/>
      <c r="GN215" s="15"/>
      <c r="GO215" s="15"/>
      <c r="GP215" s="15"/>
      <c r="GQ215" s="15"/>
      <c r="GR215" s="15"/>
      <c r="GS215" s="15"/>
      <c r="GT215" s="15"/>
      <c r="GU215" s="15"/>
      <c r="GV215" s="15"/>
      <c r="GW215" s="15"/>
      <c r="GX215" s="15"/>
      <c r="GY215" s="15"/>
      <c r="GZ215" s="896"/>
      <c r="HA215" s="15"/>
      <c r="HB215" s="15"/>
      <c r="HC215" s="15"/>
      <c r="HD215" s="15"/>
      <c r="HE215" s="15"/>
      <c r="HF215" s="15"/>
      <c r="HG215" s="15"/>
      <c r="HH215" s="15"/>
      <c r="HI215" s="15"/>
      <c r="HJ215" s="15"/>
      <c r="HK215" s="15"/>
      <c r="HL215" s="15"/>
      <c r="HM215" s="15"/>
      <c r="HN215" s="15"/>
      <c r="HO215" s="15"/>
      <c r="HP215" s="15"/>
      <c r="HQ215" s="15"/>
      <c r="HR215" s="15"/>
      <c r="HS215" s="15"/>
      <c r="HT215" s="15"/>
      <c r="HU215" s="15"/>
      <c r="HV215" s="15"/>
      <c r="HW215" s="15"/>
      <c r="HX215" s="15"/>
      <c r="HY215" s="15"/>
      <c r="HZ215" s="15"/>
      <c r="IA215" s="15"/>
      <c r="IB215" s="15"/>
      <c r="IC215" s="15"/>
      <c r="ID215" s="15"/>
      <c r="IE215" s="15"/>
      <c r="IF215" s="15"/>
      <c r="IG215" s="15"/>
      <c r="IH215" s="15"/>
      <c r="II215" s="15"/>
      <c r="IJ215" s="15"/>
      <c r="IK215" s="15"/>
      <c r="IL215" s="15"/>
      <c r="IM215" s="15"/>
      <c r="IN215" s="15"/>
      <c r="IO215" s="15"/>
      <c r="IP215" s="15"/>
      <c r="IQ215" s="15"/>
      <c r="IR215" s="15"/>
      <c r="IS215" s="15"/>
      <c r="IT215" s="15"/>
      <c r="IU215" s="15"/>
      <c r="IV215" s="15"/>
      <c r="IW215" s="15"/>
      <c r="IX215" s="15"/>
      <c r="IY215" s="15"/>
      <c r="IZ215" s="15"/>
      <c r="JA215" s="15"/>
      <c r="JB215" s="15"/>
      <c r="JC215" s="15"/>
      <c r="JD215" s="15"/>
      <c r="JE215" s="15"/>
      <c r="JF215" s="15"/>
      <c r="JG215" s="15"/>
    </row>
    <row r="216" spans="1:267" s="45" customFormat="1">
      <c r="A216" s="437" t="s">
        <v>150</v>
      </c>
      <c r="B216" s="162">
        <f t="shared" si="474"/>
        <v>0</v>
      </c>
      <c r="C216" s="162">
        <f t="shared" si="475"/>
        <v>3</v>
      </c>
      <c r="D216" s="162">
        <f t="shared" si="476"/>
        <v>3</v>
      </c>
      <c r="E216" s="162">
        <f t="shared" si="477"/>
        <v>1</v>
      </c>
      <c r="F216" s="162">
        <f t="shared" si="478"/>
        <v>0</v>
      </c>
      <c r="G216" s="15"/>
      <c r="H216" s="15"/>
      <c r="I216" s="15"/>
      <c r="J216" s="15"/>
      <c r="K216" s="336"/>
      <c r="L216" s="207"/>
      <c r="M216" s="207"/>
      <c r="N216" s="207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1"/>
      <c r="AS216" s="32"/>
      <c r="AT216" s="15"/>
      <c r="AU216" s="15"/>
      <c r="AV216" s="15"/>
      <c r="AW216" s="15"/>
      <c r="AX216" s="15"/>
      <c r="AY216" s="188"/>
      <c r="AZ216" s="188"/>
      <c r="BA216" s="188"/>
      <c r="BB216" s="188"/>
      <c r="BC216" s="188"/>
      <c r="BD216" s="188"/>
      <c r="BE216" s="188"/>
      <c r="BF216" s="188"/>
      <c r="BG216" s="188"/>
      <c r="BH216" s="188"/>
      <c r="BI216" s="188"/>
      <c r="BJ216" s="188"/>
      <c r="BK216" s="188"/>
      <c r="BL216" s="188"/>
      <c r="BM216" s="188"/>
      <c r="BN216" s="188"/>
      <c r="BO216" s="188"/>
      <c r="BP216" s="188"/>
      <c r="BQ216" s="188"/>
      <c r="BR216" s="188"/>
      <c r="BS216" s="188"/>
      <c r="BT216" s="189"/>
      <c r="BU216" s="188"/>
      <c r="BV216" s="234"/>
      <c r="BW216" s="234"/>
      <c r="BX216" s="188"/>
      <c r="BY216" s="188"/>
      <c r="BZ216" s="188"/>
      <c r="CA216" s="188"/>
      <c r="CB216" s="188"/>
      <c r="CC216" s="778"/>
      <c r="CD216" s="15"/>
      <c r="CE216" s="15"/>
      <c r="CF216" s="15"/>
      <c r="CG216" s="15"/>
      <c r="CH216" s="241"/>
      <c r="CI216" s="241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419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734"/>
      <c r="DV216" s="734"/>
      <c r="DW216" s="33"/>
      <c r="DX216" s="15"/>
      <c r="DY216" s="734"/>
      <c r="DZ216" s="15"/>
      <c r="EA216" s="734"/>
      <c r="EB216" s="15"/>
      <c r="EC216" s="15"/>
      <c r="ED216" s="15"/>
      <c r="EE216" s="15"/>
      <c r="EF216" s="15"/>
      <c r="EG216" s="734"/>
      <c r="EH216" s="734"/>
      <c r="EI216" s="15"/>
      <c r="EJ216" s="734"/>
      <c r="EK216" s="734"/>
      <c r="EL216" s="734"/>
      <c r="EM216" s="15"/>
      <c r="EN216" s="734"/>
      <c r="EO216" s="734"/>
      <c r="EP216" s="15"/>
      <c r="EQ216" s="734"/>
      <c r="ER216" s="734"/>
      <c r="ES216" s="33"/>
      <c r="ET216" s="734"/>
      <c r="EU216" s="734"/>
      <c r="EV216" s="15"/>
      <c r="EW216" s="734"/>
      <c r="EX216" s="734"/>
      <c r="EY216" s="15"/>
      <c r="EZ216" s="734"/>
      <c r="FA216" s="734"/>
      <c r="FB216" s="15"/>
      <c r="FC216" s="734"/>
      <c r="FD216" s="734"/>
      <c r="FE216" s="15"/>
      <c r="FF216" s="734"/>
      <c r="FG216" s="734"/>
      <c r="FH216" s="15"/>
      <c r="FI216" s="734"/>
      <c r="FJ216" s="734"/>
      <c r="FK216" s="15"/>
      <c r="FL216" s="734"/>
      <c r="FM216" s="734"/>
      <c r="FN216" s="734"/>
      <c r="FO216" s="734"/>
      <c r="FP216" s="734"/>
      <c r="FQ216" s="15"/>
      <c r="FR216" s="734"/>
      <c r="FS216" s="734"/>
      <c r="FT216" s="766"/>
      <c r="FU216" s="766"/>
      <c r="FV216" s="766"/>
      <c r="FW216" s="766"/>
      <c r="GA216" s="758"/>
      <c r="GB216" s="758"/>
      <c r="GD216" s="188"/>
      <c r="GE216" s="825"/>
      <c r="GF216" s="15"/>
      <c r="GG216" s="15"/>
      <c r="GH216" s="15"/>
      <c r="GI216" s="15"/>
      <c r="GJ216" s="15"/>
      <c r="GK216" s="15"/>
      <c r="GL216" s="15"/>
      <c r="GM216" s="15"/>
      <c r="GN216" s="15"/>
      <c r="GO216" s="15"/>
      <c r="GP216" s="15"/>
      <c r="GQ216" s="15"/>
      <c r="GR216" s="15"/>
      <c r="GS216" s="15"/>
      <c r="GT216" s="15"/>
      <c r="GU216" s="15"/>
      <c r="GV216" s="15"/>
      <c r="GW216" s="15"/>
      <c r="GX216" s="15"/>
      <c r="GY216" s="15"/>
      <c r="GZ216" s="896"/>
      <c r="HA216" s="15"/>
      <c r="HB216" s="15"/>
      <c r="HC216" s="15"/>
      <c r="HD216" s="15"/>
      <c r="HE216" s="15"/>
      <c r="HF216" s="15"/>
      <c r="HG216" s="15"/>
      <c r="HH216" s="15"/>
      <c r="HI216" s="15"/>
      <c r="HJ216" s="15"/>
      <c r="HK216" s="15"/>
      <c r="HL216" s="15"/>
      <c r="HM216" s="15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  <c r="HX216" s="15"/>
      <c r="HY216" s="15"/>
      <c r="HZ216" s="15"/>
      <c r="IA216" s="15"/>
      <c r="IB216" s="15"/>
      <c r="IC216" s="15"/>
      <c r="ID216" s="15"/>
      <c r="IE216" s="15"/>
      <c r="IF216" s="15"/>
      <c r="IG216" s="15"/>
      <c r="IH216" s="15"/>
      <c r="II216" s="15"/>
      <c r="IJ216" s="15"/>
      <c r="IK216" s="15"/>
      <c r="IL216" s="15"/>
      <c r="IM216" s="15"/>
      <c r="IN216" s="15"/>
      <c r="IO216" s="15"/>
      <c r="IP216" s="15"/>
      <c r="IQ216" s="15"/>
      <c r="IR216" s="15"/>
      <c r="IS216" s="15"/>
      <c r="IT216" s="15"/>
      <c r="IU216" s="15"/>
      <c r="IV216" s="15"/>
      <c r="IW216" s="15"/>
      <c r="IX216" s="15"/>
      <c r="IY216" s="15"/>
      <c r="IZ216" s="15"/>
      <c r="JA216" s="15"/>
      <c r="JB216" s="15"/>
      <c r="JC216" s="15"/>
      <c r="JD216" s="15"/>
      <c r="JE216" s="15"/>
      <c r="JF216" s="15"/>
      <c r="JG216" s="15"/>
    </row>
    <row r="217" spans="1:267" s="45" customFormat="1">
      <c r="A217" s="433"/>
      <c r="B217" s="33">
        <f>SUBTOTAL(9,B211:B216)</f>
        <v>4</v>
      </c>
      <c r="C217" s="33">
        <f>SUM(C211:C216)</f>
        <v>11</v>
      </c>
      <c r="D217" s="33">
        <f>SUM(D211:D216)</f>
        <v>10</v>
      </c>
      <c r="E217" s="33">
        <f>SUM(E211:E216)</f>
        <v>6</v>
      </c>
      <c r="F217" s="33">
        <f>SUM(F211:F216)</f>
        <v>6</v>
      </c>
      <c r="G217" s="15"/>
      <c r="H217" s="15"/>
      <c r="I217" s="15"/>
      <c r="J217" s="15"/>
      <c r="K217" s="336"/>
      <c r="L217" s="207"/>
      <c r="M217" s="207"/>
      <c r="N217" s="207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1"/>
      <c r="AS217" s="32"/>
      <c r="AT217" s="15"/>
      <c r="AU217" s="15"/>
      <c r="AV217" s="15"/>
      <c r="AW217" s="15"/>
      <c r="AX217" s="15"/>
      <c r="AY217" s="188"/>
      <c r="AZ217" s="188"/>
      <c r="BA217" s="188"/>
      <c r="BB217" s="188"/>
      <c r="BC217" s="188"/>
      <c r="BD217" s="188"/>
      <c r="BE217" s="188"/>
      <c r="BF217" s="188"/>
      <c r="BG217" s="188"/>
      <c r="BH217" s="188"/>
      <c r="BI217" s="188"/>
      <c r="BJ217" s="188"/>
      <c r="BK217" s="188"/>
      <c r="BL217" s="188"/>
      <c r="BM217" s="188"/>
      <c r="BN217" s="188"/>
      <c r="BO217" s="188"/>
      <c r="BP217" s="188"/>
      <c r="BQ217" s="188"/>
      <c r="BR217" s="188"/>
      <c r="BS217" s="188"/>
      <c r="BT217" s="189"/>
      <c r="BU217" s="188"/>
      <c r="BV217" s="234"/>
      <c r="BW217" s="234"/>
      <c r="BX217" s="188"/>
      <c r="BY217" s="188"/>
      <c r="BZ217" s="188"/>
      <c r="CA217" s="188"/>
      <c r="CB217" s="188"/>
      <c r="CC217" s="778"/>
      <c r="CD217" s="15"/>
      <c r="CE217" s="15"/>
      <c r="CF217" s="15"/>
      <c r="CG217" s="15"/>
      <c r="CH217" s="241"/>
      <c r="CI217" s="241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419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734"/>
      <c r="DV217" s="734"/>
      <c r="DW217" s="33"/>
      <c r="DX217" s="15"/>
      <c r="DY217" s="734"/>
      <c r="DZ217" s="15"/>
      <c r="EA217" s="734"/>
      <c r="EB217" s="15"/>
      <c r="EC217" s="15"/>
      <c r="ED217" s="15"/>
      <c r="EE217" s="15"/>
      <c r="EF217" s="15"/>
      <c r="EG217" s="734"/>
      <c r="EH217" s="734"/>
      <c r="EI217" s="15"/>
      <c r="EJ217" s="734"/>
      <c r="EK217" s="734"/>
      <c r="EL217" s="734"/>
      <c r="EM217" s="15"/>
      <c r="EN217" s="734"/>
      <c r="EO217" s="734"/>
      <c r="EP217" s="15"/>
      <c r="EQ217" s="734"/>
      <c r="ER217" s="734"/>
      <c r="ES217" s="33"/>
      <c r="ET217" s="734"/>
      <c r="EU217" s="734"/>
      <c r="EV217" s="15"/>
      <c r="EW217" s="734"/>
      <c r="EX217" s="734"/>
      <c r="EY217" s="15"/>
      <c r="EZ217" s="734"/>
      <c r="FA217" s="734"/>
      <c r="FB217" s="15"/>
      <c r="FC217" s="734"/>
      <c r="FD217" s="734"/>
      <c r="FE217" s="15"/>
      <c r="FF217" s="734"/>
      <c r="FG217" s="734"/>
      <c r="FH217" s="15"/>
      <c r="FI217" s="734"/>
      <c r="FJ217" s="734"/>
      <c r="FK217" s="15"/>
      <c r="FL217" s="734"/>
      <c r="FM217" s="734"/>
      <c r="FN217" s="734"/>
      <c r="FO217" s="734"/>
      <c r="FP217" s="734"/>
      <c r="FQ217" s="15"/>
      <c r="FR217" s="734"/>
      <c r="FS217" s="734"/>
      <c r="FT217" s="766"/>
      <c r="FU217" s="766"/>
      <c r="FV217" s="766"/>
      <c r="FW217" s="766"/>
      <c r="GA217" s="758"/>
      <c r="GB217" s="758"/>
      <c r="GD217" s="188"/>
      <c r="GE217" s="825"/>
      <c r="GF217" s="15"/>
      <c r="GG217" s="15"/>
      <c r="GH217" s="15"/>
      <c r="GI217" s="15"/>
      <c r="GJ217" s="15"/>
      <c r="GK217" s="15"/>
      <c r="GL217" s="15"/>
      <c r="GM217" s="15"/>
      <c r="GN217" s="15"/>
      <c r="GO217" s="15"/>
      <c r="GP217" s="15"/>
      <c r="GQ217" s="15"/>
      <c r="GR217" s="15"/>
      <c r="GS217" s="15"/>
      <c r="GT217" s="15"/>
      <c r="GU217" s="15"/>
      <c r="GV217" s="15"/>
      <c r="GW217" s="15"/>
      <c r="GX217" s="15"/>
      <c r="GY217" s="15"/>
      <c r="GZ217" s="896"/>
      <c r="HA217" s="15"/>
      <c r="HB217" s="15"/>
      <c r="HC217" s="15"/>
      <c r="HD217" s="15"/>
      <c r="HE217" s="15"/>
      <c r="HF217" s="15"/>
      <c r="HG217" s="15"/>
      <c r="HH217" s="15"/>
      <c r="HI217" s="15"/>
      <c r="HJ217" s="15"/>
      <c r="HK217" s="15"/>
      <c r="HL217" s="15"/>
      <c r="HM217" s="15"/>
      <c r="HN217" s="15"/>
      <c r="HO217" s="15"/>
      <c r="HP217" s="15"/>
      <c r="HQ217" s="15"/>
      <c r="HR217" s="15"/>
      <c r="HS217" s="15"/>
      <c r="HT217" s="15"/>
      <c r="HU217" s="15"/>
      <c r="HV217" s="15"/>
      <c r="HW217" s="15"/>
      <c r="HX217" s="15"/>
      <c r="HY217" s="15"/>
      <c r="HZ217" s="15"/>
      <c r="IA217" s="15"/>
      <c r="IB217" s="15"/>
      <c r="IC217" s="15"/>
      <c r="ID217" s="15"/>
      <c r="IE217" s="15"/>
      <c r="IF217" s="15"/>
      <c r="IG217" s="15"/>
      <c r="IH217" s="15"/>
      <c r="II217" s="15"/>
      <c r="IJ217" s="15"/>
      <c r="IK217" s="15"/>
      <c r="IL217" s="15"/>
      <c r="IM217" s="15"/>
      <c r="IN217" s="15"/>
      <c r="IO217" s="15"/>
      <c r="IP217" s="15"/>
      <c r="IQ217" s="15"/>
      <c r="IR217" s="15"/>
      <c r="IS217" s="15"/>
      <c r="IT217" s="15"/>
      <c r="IU217" s="15"/>
      <c r="IV217" s="15"/>
      <c r="IW217" s="15"/>
      <c r="IX217" s="15"/>
      <c r="IY217" s="15"/>
      <c r="IZ217" s="15"/>
      <c r="JA217" s="15"/>
      <c r="JB217" s="15"/>
      <c r="JC217" s="15"/>
      <c r="JD217" s="15"/>
      <c r="JE217" s="15"/>
      <c r="JF217" s="15"/>
      <c r="JG217" s="15"/>
    </row>
    <row r="218" spans="1:267" s="45" customFormat="1">
      <c r="A218" s="433"/>
      <c r="B218" s="15"/>
      <c r="C218" s="15"/>
      <c r="D218" s="15"/>
      <c r="E218" s="15"/>
      <c r="F218" s="15"/>
      <c r="G218" s="15"/>
      <c r="H218" s="15"/>
      <c r="I218" s="15"/>
      <c r="J218" s="15"/>
      <c r="K218" s="336"/>
      <c r="L218" s="207"/>
      <c r="M218" s="207"/>
      <c r="N218" s="207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1"/>
      <c r="AS218" s="32"/>
      <c r="AT218" s="15"/>
      <c r="AU218" s="15"/>
      <c r="AV218" s="15"/>
      <c r="AW218" s="15"/>
      <c r="AX218" s="15"/>
      <c r="AY218" s="188"/>
      <c r="AZ218" s="188"/>
      <c r="BA218" s="188"/>
      <c r="BB218" s="188"/>
      <c r="BC218" s="188"/>
      <c r="BD218" s="188"/>
      <c r="BE218" s="188"/>
      <c r="BF218" s="188"/>
      <c r="BG218" s="188"/>
      <c r="BH218" s="188"/>
      <c r="BI218" s="188"/>
      <c r="BJ218" s="188"/>
      <c r="BK218" s="188"/>
      <c r="BL218" s="188"/>
      <c r="BM218" s="188"/>
      <c r="BN218" s="188"/>
      <c r="BO218" s="188"/>
      <c r="BP218" s="188"/>
      <c r="BQ218" s="188"/>
      <c r="BR218" s="188"/>
      <c r="BS218" s="188"/>
      <c r="BT218" s="189"/>
      <c r="BU218" s="188"/>
      <c r="BV218" s="234"/>
      <c r="BW218" s="234"/>
      <c r="BX218" s="188"/>
      <c r="BY218" s="188"/>
      <c r="BZ218" s="188"/>
      <c r="CA218" s="188"/>
      <c r="CB218" s="188"/>
      <c r="CC218" s="778"/>
      <c r="CD218" s="15"/>
      <c r="CE218" s="15"/>
      <c r="CF218" s="15"/>
      <c r="CG218" s="15"/>
      <c r="CH218" s="241"/>
      <c r="CI218" s="241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419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734"/>
      <c r="DV218" s="734"/>
      <c r="DW218" s="33"/>
      <c r="DX218" s="15"/>
      <c r="DY218" s="734"/>
      <c r="DZ218" s="15"/>
      <c r="EA218" s="734"/>
      <c r="EB218" s="15"/>
      <c r="EC218" s="15"/>
      <c r="ED218" s="15"/>
      <c r="EE218" s="15"/>
      <c r="EF218" s="15"/>
      <c r="EG218" s="734"/>
      <c r="EH218" s="734"/>
      <c r="EI218" s="15"/>
      <c r="EJ218" s="734"/>
      <c r="EK218" s="734"/>
      <c r="EL218" s="734"/>
      <c r="EM218" s="15"/>
      <c r="EN218" s="734"/>
      <c r="EO218" s="734"/>
      <c r="EP218" s="15"/>
      <c r="EQ218" s="734"/>
      <c r="ER218" s="734"/>
      <c r="ES218" s="33"/>
      <c r="ET218" s="734"/>
      <c r="EU218" s="734"/>
      <c r="EV218" s="15"/>
      <c r="EW218" s="734"/>
      <c r="EX218" s="734"/>
      <c r="EY218" s="15"/>
      <c r="EZ218" s="734"/>
      <c r="FA218" s="734"/>
      <c r="FB218" s="15"/>
      <c r="FC218" s="734"/>
      <c r="FD218" s="734"/>
      <c r="FE218" s="15"/>
      <c r="FF218" s="734"/>
      <c r="FG218" s="734"/>
      <c r="FH218" s="15"/>
      <c r="FI218" s="734"/>
      <c r="FJ218" s="734"/>
      <c r="FK218" s="15"/>
      <c r="FL218" s="734"/>
      <c r="FM218" s="734"/>
      <c r="FN218" s="734"/>
      <c r="FO218" s="734"/>
      <c r="FP218" s="734"/>
      <c r="FQ218" s="15"/>
      <c r="FR218" s="734"/>
      <c r="FS218" s="734"/>
      <c r="FT218" s="766"/>
      <c r="FU218" s="766"/>
      <c r="FV218" s="766"/>
      <c r="FW218" s="766"/>
      <c r="GA218" s="758"/>
      <c r="GB218" s="758"/>
      <c r="GD218" s="188"/>
      <c r="GE218" s="825"/>
      <c r="GF218" s="15"/>
      <c r="GG218" s="15"/>
      <c r="GH218" s="15"/>
      <c r="GI218" s="15"/>
      <c r="GJ218" s="15"/>
      <c r="GK218" s="15"/>
      <c r="GL218" s="15"/>
      <c r="GM218" s="15"/>
      <c r="GN218" s="15"/>
      <c r="GO218" s="15"/>
      <c r="GP218" s="15"/>
      <c r="GQ218" s="15"/>
      <c r="GR218" s="15"/>
      <c r="GS218" s="15"/>
      <c r="GT218" s="15"/>
      <c r="GU218" s="15"/>
      <c r="GV218" s="15"/>
      <c r="GW218" s="15"/>
      <c r="GX218" s="15"/>
      <c r="GY218" s="15"/>
      <c r="GZ218" s="896"/>
      <c r="HA218" s="15"/>
      <c r="HB218" s="15"/>
      <c r="HC218" s="15"/>
      <c r="HD218" s="15"/>
      <c r="HE218" s="15"/>
      <c r="HF218" s="15"/>
      <c r="HG218" s="15"/>
      <c r="HH218" s="15"/>
      <c r="HI218" s="15"/>
      <c r="HJ218" s="15"/>
      <c r="HK218" s="15"/>
      <c r="HL218" s="15"/>
      <c r="HM218" s="15"/>
      <c r="HN218" s="15"/>
      <c r="HO218" s="15"/>
      <c r="HP218" s="15"/>
      <c r="HQ218" s="15"/>
      <c r="HR218" s="15"/>
      <c r="HS218" s="15"/>
      <c r="HT218" s="15"/>
      <c r="HU218" s="15"/>
      <c r="HV218" s="15"/>
      <c r="HW218" s="15"/>
      <c r="HX218" s="15"/>
      <c r="HY218" s="15"/>
      <c r="HZ218" s="15"/>
      <c r="IA218" s="15"/>
      <c r="IB218" s="15"/>
      <c r="IC218" s="15"/>
      <c r="ID218" s="15"/>
      <c r="IE218" s="15"/>
      <c r="IF218" s="15"/>
      <c r="IG218" s="15"/>
      <c r="IH218" s="15"/>
      <c r="II218" s="15"/>
      <c r="IJ218" s="15"/>
      <c r="IK218" s="15"/>
      <c r="IL218" s="15"/>
      <c r="IM218" s="15"/>
      <c r="IN218" s="15"/>
      <c r="IO218" s="15"/>
      <c r="IP218" s="15"/>
      <c r="IQ218" s="15"/>
      <c r="IR218" s="15"/>
      <c r="IS218" s="15"/>
      <c r="IT218" s="15"/>
      <c r="IU218" s="15"/>
      <c r="IV218" s="15"/>
      <c r="IW218" s="15"/>
      <c r="IX218" s="15"/>
      <c r="IY218" s="15"/>
      <c r="IZ218" s="15"/>
      <c r="JA218" s="15"/>
      <c r="JB218" s="15"/>
      <c r="JC218" s="15"/>
      <c r="JD218" s="15"/>
      <c r="JE218" s="15"/>
      <c r="JF218" s="15"/>
      <c r="JG218" s="15"/>
    </row>
  </sheetData>
  <autoFilter ref="A1:JG105"/>
  <sortState ref="A39:A44">
    <sortCondition ref="A39"/>
  </sortState>
  <dataConsolidate/>
  <mergeCells count="6">
    <mergeCell ref="C152:D152"/>
    <mergeCell ref="M152:N152"/>
    <mergeCell ref="K152:L152"/>
    <mergeCell ref="I152:J152"/>
    <mergeCell ref="G152:H152"/>
    <mergeCell ref="E152:F152"/>
  </mergeCells>
  <conditionalFormatting sqref="EW62">
    <cfRule type="expression" dxfId="42" priority="74">
      <formula>$AH62&gt;TODAY()</formula>
    </cfRule>
  </conditionalFormatting>
  <conditionalFormatting sqref="EX62">
    <cfRule type="expression" dxfId="41" priority="73">
      <formula>$AI62&gt;=TODAY()</formula>
    </cfRule>
  </conditionalFormatting>
  <conditionalFormatting sqref="ET62">
    <cfRule type="expression" dxfId="40" priority="56">
      <formula>$AE62&gt;TODAY()</formula>
    </cfRule>
  </conditionalFormatting>
  <conditionalFormatting sqref="EU62">
    <cfRule type="expression" dxfId="39" priority="55">
      <formula>$AF62&gt;=TODAY()</formula>
    </cfRule>
  </conditionalFormatting>
  <conditionalFormatting sqref="EU2:EU32 EU34:EU51 EU53:EU104 EX50:EX57">
    <cfRule type="expression" dxfId="38" priority="75">
      <formula>$EU2&gt;=TODAY()</formula>
    </cfRule>
  </conditionalFormatting>
  <conditionalFormatting sqref="FS2:FS104">
    <cfRule type="expression" dxfId="37" priority="78">
      <formula>$FS2&gt;=TODAY()</formula>
    </cfRule>
  </conditionalFormatting>
  <conditionalFormatting sqref="FR2:FR104">
    <cfRule type="expression" dxfId="36" priority="79">
      <formula>$FR2&gt;=TODAY()</formula>
    </cfRule>
  </conditionalFormatting>
  <conditionalFormatting sqref="FP9:FP10 FP2:FP5">
    <cfRule type="expression" dxfId="35" priority="80">
      <formula>$FP1048568&gt;=TODAY()</formula>
    </cfRule>
  </conditionalFormatting>
  <conditionalFormatting sqref="FP2:FP104">
    <cfRule type="expression" dxfId="34" priority="81">
      <formula>$FP2&gt;=TODAY()</formula>
    </cfRule>
  </conditionalFormatting>
  <conditionalFormatting sqref="FO2:FO104">
    <cfRule type="expression" dxfId="33" priority="82">
      <formula>$FO2&gt;=TODAY()</formula>
    </cfRule>
  </conditionalFormatting>
  <conditionalFormatting sqref="FN2:FN104">
    <cfRule type="expression" dxfId="32" priority="83">
      <formula>$FN2&gt;=TODAY()</formula>
    </cfRule>
  </conditionalFormatting>
  <conditionalFormatting sqref="FM2:FM104">
    <cfRule type="expression" dxfId="31" priority="84">
      <formula>$FM2&gt;=TODAY()</formula>
    </cfRule>
  </conditionalFormatting>
  <conditionalFormatting sqref="FL2:FL104">
    <cfRule type="expression" dxfId="30" priority="85">
      <formula>$FL2&gt;=TODAY()</formula>
    </cfRule>
  </conditionalFormatting>
  <conditionalFormatting sqref="FJ2:FJ104">
    <cfRule type="expression" dxfId="29" priority="86">
      <formula>$FJ2&gt;=TODAY()</formula>
    </cfRule>
  </conditionalFormatting>
  <conditionalFormatting sqref="FI2:FI104">
    <cfRule type="expression" dxfId="28" priority="87">
      <formula>$FI2&gt;=TODAY()</formula>
    </cfRule>
  </conditionalFormatting>
  <conditionalFormatting sqref="FG2:FG104">
    <cfRule type="expression" dxfId="27" priority="90">
      <formula>$FG2&gt;=TODAY()</formula>
    </cfRule>
  </conditionalFormatting>
  <conditionalFormatting sqref="FF2:FF104">
    <cfRule type="expression" dxfId="26" priority="91">
      <formula>$FF2&gt;=TODAY()</formula>
    </cfRule>
  </conditionalFormatting>
  <conditionalFormatting sqref="FD2:FD104">
    <cfRule type="expression" dxfId="25" priority="92">
      <formula>$FD2&gt;=TODAY()</formula>
    </cfRule>
  </conditionalFormatting>
  <conditionalFormatting sqref="FC2:FC104">
    <cfRule type="expression" dxfId="24" priority="93">
      <formula>$FC2&gt;=TODAY()</formula>
    </cfRule>
  </conditionalFormatting>
  <conditionalFormatting sqref="FA2:FA104">
    <cfRule type="expression" dxfId="23" priority="94">
      <formula>$FA2&gt;=TODAY()</formula>
    </cfRule>
  </conditionalFormatting>
  <conditionalFormatting sqref="EZ2:EZ104">
    <cfRule type="expression" dxfId="22" priority="95">
      <formula>$EZ2&gt;=TODAY()</formula>
    </cfRule>
  </conditionalFormatting>
  <conditionalFormatting sqref="EX2:EX49 EX58:EX104">
    <cfRule type="expression" dxfId="21" priority="96">
      <formula>$EX2&gt;=TODAY()</formula>
    </cfRule>
  </conditionalFormatting>
  <conditionalFormatting sqref="EW2:EW49 EW58:EW104">
    <cfRule type="expression" dxfId="20" priority="98">
      <formula>$EW2&gt;=TODAY()</formula>
    </cfRule>
  </conditionalFormatting>
  <conditionalFormatting sqref="ET2:ET104 EW50:EW57">
    <cfRule type="expression" dxfId="19" priority="100">
      <formula>$ET2&gt;=TODAY()</formula>
    </cfRule>
  </conditionalFormatting>
  <conditionalFormatting sqref="ER2:ER50 ER52:ER104 EU52 EU33">
    <cfRule type="expression" dxfId="18" priority="101">
      <formula>$ER2&gt;=TODAY()</formula>
    </cfRule>
  </conditionalFormatting>
  <conditionalFormatting sqref="EQ2:EQ104 ER51">
    <cfRule type="expression" dxfId="17" priority="104">
      <formula>$EQ2&gt;=TODAY()</formula>
    </cfRule>
  </conditionalFormatting>
  <conditionalFormatting sqref="EO2:EO50 EO52:EO56 EO58:EO104">
    <cfRule type="expression" dxfId="16" priority="105">
      <formula>$EO2&gt;=TODAY()</formula>
    </cfRule>
  </conditionalFormatting>
  <conditionalFormatting sqref="EN2:EN104 EO51 EO57">
    <cfRule type="expression" dxfId="15" priority="108">
      <formula>$EN2&gt;=TODAY()</formula>
    </cfRule>
  </conditionalFormatting>
  <conditionalFormatting sqref="EL2:EL33 EL52:EL104 EL35:EL50">
    <cfRule type="expression" dxfId="14" priority="109">
      <formula>$EL2&gt;=TODAY()</formula>
    </cfRule>
  </conditionalFormatting>
  <conditionalFormatting sqref="EK2:EK104 EL51">
    <cfRule type="expression" dxfId="13" priority="111">
      <formula>$EK2&gt;=TODAY()</formula>
    </cfRule>
  </conditionalFormatting>
  <conditionalFormatting sqref="EH2:EH104">
    <cfRule type="expression" dxfId="12" priority="112">
      <formula>$EH2&gt;=TODAY()</formula>
    </cfRule>
  </conditionalFormatting>
  <conditionalFormatting sqref="EG2:EG104">
    <cfRule type="expression" dxfId="11" priority="113">
      <formula>$EG2&gt;=TODAY()</formula>
    </cfRule>
  </conditionalFormatting>
  <conditionalFormatting sqref="EE2:EE104 ED33 ED9">
    <cfRule type="expression" dxfId="10" priority="114">
      <formula>$EE2&gt;=TODAY()</formula>
    </cfRule>
  </conditionalFormatting>
  <conditionalFormatting sqref="ED2:ED8 ED34:ED104 ED10:ED32">
    <cfRule type="expression" dxfId="9" priority="115">
      <formula>$ED2&gt;=TODAY()</formula>
    </cfRule>
  </conditionalFormatting>
  <conditionalFormatting sqref="EB2:EB104">
    <cfRule type="expression" dxfId="8" priority="118">
      <formula>$EB2&gt;=TODAY()</formula>
    </cfRule>
  </conditionalFormatting>
  <conditionalFormatting sqref="EA2:EA104">
    <cfRule type="expression" dxfId="7" priority="119">
      <formula>$EA2&gt;=TODAY()</formula>
    </cfRule>
  </conditionalFormatting>
  <conditionalFormatting sqref="DY2:DY104">
    <cfRule type="expression" dxfId="6" priority="120">
      <formula>$DY2&gt;=TODAY()</formula>
    </cfRule>
  </conditionalFormatting>
  <conditionalFormatting sqref="DX2:DX104">
    <cfRule type="expression" dxfId="5" priority="121">
      <formula>$DX2&gt;=TODAY()</formula>
    </cfRule>
  </conditionalFormatting>
  <conditionalFormatting sqref="DV2:DV104">
    <cfRule type="expression" dxfId="4" priority="122">
      <formula>$DV2&gt;=TODAY()</formula>
    </cfRule>
  </conditionalFormatting>
  <conditionalFormatting sqref="DU2:DU104">
    <cfRule type="expression" dxfId="3" priority="123">
      <formula>$DU2&gt;=TODAY()</formula>
    </cfRule>
  </conditionalFormatting>
  <conditionalFormatting sqref="EL34">
    <cfRule type="expression" dxfId="2" priority="1">
      <formula>$EK34&gt;=TODAY()</formula>
    </cfRule>
  </conditionalFormatting>
  <conditionalFormatting sqref="FP12:FP95">
    <cfRule type="expression" dxfId="1" priority="125">
      <formula>$FP1&gt;=TODAY()</formula>
    </cfRule>
  </conditionalFormatting>
  <conditionalFormatting sqref="FP96:FP104">
    <cfRule type="expression" dxfId="0" priority="126">
      <formula>$FP84&gt;=TODAY()</formula>
    </cfRule>
  </conditionalFormatting>
  <dataValidations count="14">
    <dataValidation type="list" allowBlank="1" showInputMessage="1" showErrorMessage="1" sqref="BB105:BC105 AV2:AV104">
      <formula1>"oui,non"</formula1>
    </dataValidation>
    <dataValidation type="list" allowBlank="1" showInputMessage="1" showErrorMessage="1" sqref="O105:U105 W105:AB105 B105:C105">
      <formula1>"Avirons,Entre-Deux,Etang-Salé,Petite-Ile,St Joseph,St Leu,St Louis,St Paul,St Philippe,St Pierre,Tampon,Trois Bassins"</formula1>
    </dataValidation>
    <dataValidation type="list" allowBlank="1" showInputMessage="1" showErrorMessage="1" sqref="AY50:AY51 AY39:AY46">
      <formula1>"OFOI,INGEPAR,INTERINVEST"</formula1>
    </dataValidation>
    <dataValidation type="list" allowBlank="1" showInputMessage="1" showErrorMessage="1" sqref="AY3:AY8 AY10:AY38">
      <formula1>"INGEPAR,OFOI,INTER INVEST"</formula1>
    </dataValidation>
    <dataValidation type="list" allowBlank="1" showInputMessage="1" showErrorMessage="1" sqref="AW105:AX105 FV105:FW105 CE105:DS105">
      <formula1>"FHO,FMA,JDC,JFO,LIM,SFE,YFR"</formula1>
    </dataValidation>
    <dataValidation type="list" allowBlank="1" showInputMessage="1" showErrorMessage="1" sqref="F2:F13 F60:F61 F35:F58 F86:F89">
      <formula1>"ADE,AGA,APU,BBL,FBR,FHO,FVA,JER,YFR"</formula1>
    </dataValidation>
    <dataValidation type="list" allowBlank="1" showInputMessage="1" showErrorMessage="1" sqref="F90:F95 F62:F81 F83:F85 F97:F104">
      <formula1>"ADE,AGA,APU,BBL,FBR,FHO,FVA,JER,OET,YFR"</formula1>
    </dataValidation>
    <dataValidation type="list" allowBlank="1" showInputMessage="1" showErrorMessage="1" sqref="F14:F34 F59">
      <formula1>"ADE,APU,BBL,FBR,FHO,FVA,JER,OET,YFR"</formula1>
    </dataValidation>
    <dataValidation type="list" allowBlank="1" showInputMessage="1" showErrorMessage="1" sqref="F96 F82">
      <formula1>"ADE,AGA,APU,BBL,FBR,FHO,FVA,JER,OET,YFR,RO"</formula1>
    </dataValidation>
    <dataValidation type="list" allowBlank="1" showInputMessage="1" showErrorMessage="1" sqref="B2:B104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AY57:AY105">
      <formula1>"INGEPAR,OFOI"</formula1>
    </dataValidation>
    <dataValidation type="list" allowBlank="1" showInputMessage="1" showErrorMessage="1" sqref="AC2:AC104">
      <formula1>"LLS,LLTS,PLS,Rehab"</formula1>
    </dataValidation>
    <dataValidation type="list" allowBlank="1" showInputMessage="1" showErrorMessage="1" sqref="C2:C104">
      <formula1>"CA SUD,CIVIS,TCO"</formula1>
    </dataValidation>
    <dataValidation type="list" allowBlank="1" showInputMessage="1" showErrorMessage="1" sqref="AU2:AU104">
      <formula1>"MDV,collectif"</formula1>
    </dataValidation>
  </dataValidations>
  <pageMargins left="0.23622047244094491" right="0.23622047244094491" top="0.74803149606299213" bottom="0.74803149606299213" header="0.31496062992125984" footer="0.31496062992125984"/>
  <pageSetup paperSize="8" scale="10" orientation="landscape" r:id="rId1"/>
  <rowBreaks count="2" manualBreakCount="2">
    <brk id="32" max="265" man="1"/>
    <brk id="109" max="264" man="1"/>
  </rowBreaks>
  <colBreaks count="2" manualBreakCount="2">
    <brk id="213" max="218" man="1"/>
    <brk id="234" max="218" man="1"/>
  </colBreaks>
  <ignoredErrors>
    <ignoredError sqref="AJ109" formulaRange="1"/>
    <ignoredError sqref="P116:P119 P122:P126 P128:P129" evalErro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31</vt:i4>
      </vt:variant>
    </vt:vector>
  </HeadingPairs>
  <TitlesOfParts>
    <vt:vector size="33" baseType="lpstr">
      <vt:lpstr>SYNTHESE</vt:lpstr>
      <vt:lpstr>Données initiales</vt:lpstr>
      <vt:lpstr>Annee_Inaug</vt:lpstr>
      <vt:lpstr>Annee_OS</vt:lpstr>
      <vt:lpstr>Arrangeur</vt:lpstr>
      <vt:lpstr>Arrêté_LBU</vt:lpstr>
      <vt:lpstr>Ass</vt:lpstr>
      <vt:lpstr>AUTRES_SUB</vt:lpstr>
      <vt:lpstr>Avancement</vt:lpstr>
      <vt:lpstr>Bdgt</vt:lpstr>
      <vt:lpstr>CI</vt:lpstr>
      <vt:lpstr>Fonds_propres</vt:lpstr>
      <vt:lpstr>'Données initiales'!Impression_des_titres</vt:lpstr>
      <vt:lpstr>LBU</vt:lpstr>
      <vt:lpstr>Livraison</vt:lpstr>
      <vt:lpstr>LLS</vt:lpstr>
      <vt:lpstr>LLTS</vt:lpstr>
      <vt:lpstr>Loyers</vt:lpstr>
      <vt:lpstr>Nlgts</vt:lpstr>
      <vt:lpstr>Notaire</vt:lpstr>
      <vt:lpstr>OS</vt:lpstr>
      <vt:lpstr>PRET</vt:lpstr>
      <vt:lpstr>Prog</vt:lpstr>
      <vt:lpstr>PRP</vt:lpstr>
      <vt:lpstr>Px_Foncier</vt:lpstr>
      <vt:lpstr>Retard_loyer</vt:lpstr>
      <vt:lpstr>Retard_VEFA</vt:lpstr>
      <vt:lpstr>RO</vt:lpstr>
      <vt:lpstr>S_TERRAIN</vt:lpstr>
      <vt:lpstr>SF</vt:lpstr>
      <vt:lpstr>Type</vt:lpstr>
      <vt:lpstr>Ville</vt:lpstr>
      <vt:lpstr>'Données initiales'!Zone_d_impression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2018-03-06T11:07:19Z</cp:lastPrinted>
  <dcterms:created xsi:type="dcterms:W3CDTF">2012-11-19T18:43:46Z</dcterms:created>
  <dcterms:modified xsi:type="dcterms:W3CDTF">2018-03-29T07:59:57Z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