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7125" yWindow="330" windowWidth="8175" windowHeight="5325" tabRatio="389" activeTab="1"/>
  </bookViews>
  <sheets>
    <sheet name="SYNTHESE" sheetId="26" r:id="rId1"/>
    <sheet name="Données initiales" sheetId="1" r:id="rId2"/>
  </sheets>
  <functionGroups builtInGroupCount="18"/>
  <externalReferences>
    <externalReference r:id="rId3"/>
  </externalReferences>
  <definedNames>
    <definedName name="_xlnm._FilterDatabase" localSheetId="1" hidden="1">'Données initiales'!$A$1:$V$118</definedName>
    <definedName name="Arrangeur">'Données initiales'!#REF!</definedName>
    <definedName name="Arrêté_LBU">'Données initiales'!#REF!</definedName>
    <definedName name="Ass">'Données initiales'!#REF!</definedName>
    <definedName name="Avancement">'Données initiales'!#REF!</definedName>
    <definedName name="Bdgt">'Données initiales'!#REF!</definedName>
    <definedName name="HonoS">'Données initiales'!#REF!</definedName>
    <definedName name="_xlnm.Print_Titles" localSheetId="1">'Données initiales'!$A:$A,'Données initiales'!$1:$1</definedName>
    <definedName name="LBU">'Données initiales'!#REF!</definedName>
    <definedName name="Livraison">'Données initiales'!#REF!</definedName>
    <definedName name="LLS">'Données initiales'!$D$24:$D$115</definedName>
    <definedName name="LLTS">'Données initiales'!$E$24:$E$115</definedName>
    <definedName name="Nlgts">'Données initiales'!$C$2:$C$115</definedName>
    <definedName name="Notaire">'Données initiales'!#REF!</definedName>
    <definedName name="OS">'Données initiales'!$V$2:$V$115</definedName>
    <definedName name="Prog">'Données initiales'!#REF!</definedName>
    <definedName name="Px_Foncier">'Données initiales'!#REF!</definedName>
    <definedName name="RO">'Données initiales'!#REF!</definedName>
    <definedName name="Type">'Données initiales'!$B$2:$B$115</definedName>
    <definedName name="Ville">'Données initiales'!#REF!</definedName>
    <definedName name="_xlnm.Print_Area" localSheetId="1">'Données initiales'!$A$1:$AA$121</definedName>
  </definedNames>
  <calcPr calcId="152511"/>
</workbook>
</file>

<file path=xl/calcChain.xml><?xml version="1.0" encoding="utf-8"?>
<calcChain xmlns="http://schemas.openxmlformats.org/spreadsheetml/2006/main">
  <c r="C79" i="1" l="1"/>
  <c r="C71" i="1"/>
  <c r="G71" i="1"/>
  <c r="AC40" i="1"/>
  <c r="AB41" i="1"/>
  <c r="H71" i="1" l="1"/>
  <c r="H79" i="1"/>
  <c r="D120" i="1" l="1"/>
  <c r="D116" i="1"/>
  <c r="C105" i="1"/>
  <c r="C76" i="1"/>
  <c r="C96" i="1"/>
  <c r="C107" i="1"/>
  <c r="C70" i="1"/>
  <c r="C104" i="1"/>
  <c r="C94" i="1"/>
  <c r="C77" i="1"/>
  <c r="C93" i="1"/>
  <c r="E73" i="1"/>
  <c r="C73" i="1" s="1"/>
  <c r="G75" i="1"/>
  <c r="E75" i="1"/>
  <c r="C75" i="1" s="1"/>
  <c r="G74" i="1"/>
  <c r="E74" i="1"/>
  <c r="C74" i="1" s="1"/>
  <c r="C101" i="1"/>
  <c r="C102" i="1"/>
  <c r="C91" i="1"/>
  <c r="E72" i="1"/>
  <c r="C72" i="1" s="1"/>
  <c r="C84" i="1"/>
  <c r="C83" i="1"/>
  <c r="E68" i="1"/>
  <c r="C68" i="1" s="1"/>
  <c r="E69" i="1"/>
  <c r="C63" i="1"/>
  <c r="C103" i="1"/>
  <c r="C65" i="1"/>
  <c r="C62" i="1"/>
  <c r="M64" i="1"/>
  <c r="L64" i="1"/>
  <c r="K64" i="1"/>
  <c r="J64" i="1"/>
  <c r="I64" i="1"/>
  <c r="C64" i="1"/>
  <c r="C92" i="1"/>
  <c r="C61" i="1"/>
  <c r="C100" i="1"/>
  <c r="M80" i="1"/>
  <c r="L80" i="1"/>
  <c r="K80" i="1"/>
  <c r="J80" i="1"/>
  <c r="G80" i="1"/>
  <c r="C80" i="1"/>
  <c r="M59" i="1"/>
  <c r="L59" i="1"/>
  <c r="K59" i="1"/>
  <c r="J59" i="1"/>
  <c r="G59" i="1"/>
  <c r="C59" i="1"/>
  <c r="C66" i="1"/>
  <c r="C78" i="1"/>
  <c r="P58" i="1"/>
  <c r="M58" i="1"/>
  <c r="L58" i="1"/>
  <c r="C58" i="1"/>
  <c r="C67" i="1"/>
  <c r="P60" i="1"/>
  <c r="C60" i="1"/>
  <c r="C115" i="1"/>
  <c r="P56" i="1"/>
  <c r="C56" i="1"/>
  <c r="M56" i="1" s="1"/>
  <c r="C82" i="1"/>
  <c r="C52" i="1"/>
  <c r="C48" i="1"/>
  <c r="P81" i="1"/>
  <c r="C81" i="1"/>
  <c r="C57" i="1"/>
  <c r="C55" i="1"/>
  <c r="C54" i="1"/>
  <c r="C53" i="1"/>
  <c r="J53" i="1" s="1"/>
  <c r="C39" i="1"/>
  <c r="P40" i="1"/>
  <c r="E40" i="1"/>
  <c r="C40" i="1" s="1"/>
  <c r="C51" i="1"/>
  <c r="C42" i="1"/>
  <c r="P43" i="1"/>
  <c r="C43" i="1"/>
  <c r="C50" i="1"/>
  <c r="C47" i="1"/>
  <c r="C46" i="1"/>
  <c r="L45" i="1"/>
  <c r="K45" i="1"/>
  <c r="P33" i="1"/>
  <c r="M33" i="1"/>
  <c r="L33" i="1"/>
  <c r="K33" i="1"/>
  <c r="J33" i="1"/>
  <c r="C33" i="1"/>
  <c r="P34" i="1"/>
  <c r="M34" i="1"/>
  <c r="L34" i="1"/>
  <c r="C34" i="1"/>
  <c r="P36" i="1"/>
  <c r="C36" i="1"/>
  <c r="C32" i="1"/>
  <c r="G49" i="1"/>
  <c r="E49" i="1"/>
  <c r="C49" i="1" s="1"/>
  <c r="P41" i="1"/>
  <c r="C41" i="1"/>
  <c r="P44" i="1"/>
  <c r="C44" i="1"/>
  <c r="P28" i="1"/>
  <c r="C28" i="1"/>
  <c r="P27" i="1"/>
  <c r="C27" i="1"/>
  <c r="P29" i="1"/>
  <c r="C29" i="1"/>
  <c r="P38" i="1"/>
  <c r="C38" i="1"/>
  <c r="P37" i="1"/>
  <c r="C37" i="1"/>
  <c r="P25" i="1"/>
  <c r="C25" i="1"/>
  <c r="P26" i="1"/>
  <c r="C26" i="1"/>
  <c r="C35" i="1"/>
  <c r="P24" i="1"/>
  <c r="F24" i="1"/>
  <c r="F120" i="1" s="1"/>
  <c r="C24" i="1"/>
  <c r="P23" i="1"/>
  <c r="C23" i="1"/>
  <c r="P18" i="1"/>
  <c r="C18" i="1"/>
  <c r="K18" i="1" s="1"/>
  <c r="P30" i="1"/>
  <c r="C30" i="1"/>
  <c r="P12" i="1"/>
  <c r="C12" i="1"/>
  <c r="C17" i="1"/>
  <c r="P16" i="1"/>
  <c r="C16" i="1"/>
  <c r="P21" i="1"/>
  <c r="C21" i="1"/>
  <c r="O14" i="1"/>
  <c r="P14" i="1" s="1"/>
  <c r="C14" i="1"/>
  <c r="P22" i="1"/>
  <c r="C22" i="1"/>
  <c r="C31" i="1"/>
  <c r="P20" i="1"/>
  <c r="C20" i="1"/>
  <c r="P15" i="1"/>
  <c r="C15" i="1"/>
  <c r="P19" i="1"/>
  <c r="C19" i="1"/>
  <c r="P11" i="1"/>
  <c r="N11" i="1"/>
  <c r="C11" i="1"/>
  <c r="P13" i="1"/>
  <c r="C13" i="1"/>
  <c r="P5" i="1"/>
  <c r="C5" i="1"/>
  <c r="P4" i="1"/>
  <c r="C4" i="1"/>
  <c r="P3" i="1"/>
  <c r="C3" i="1"/>
  <c r="P6" i="1"/>
  <c r="C6" i="1"/>
  <c r="P8" i="1"/>
  <c r="N8" i="1"/>
  <c r="C8" i="1"/>
  <c r="C7" i="1"/>
  <c r="C10" i="1"/>
  <c r="P9" i="1"/>
  <c r="C9" i="1"/>
  <c r="P2" i="1"/>
  <c r="C2" i="1"/>
  <c r="C10" i="26" l="1"/>
  <c r="Z47" i="1" s="1"/>
  <c r="B10" i="26"/>
  <c r="C116" i="1"/>
  <c r="B13" i="26"/>
  <c r="B9" i="26"/>
  <c r="B5" i="26"/>
  <c r="B12" i="26"/>
  <c r="B8" i="26"/>
  <c r="B11" i="26"/>
  <c r="B7" i="26"/>
  <c r="B4" i="26"/>
  <c r="B6" i="26"/>
  <c r="P49" i="1"/>
  <c r="P10" i="1"/>
  <c r="P35" i="1"/>
  <c r="E120" i="1"/>
  <c r="P31" i="1"/>
  <c r="P32" i="1"/>
  <c r="E116" i="1"/>
  <c r="H30" i="1"/>
  <c r="L6" i="1"/>
  <c r="J48" i="1"/>
  <c r="H37" i="1"/>
  <c r="H4" i="1"/>
  <c r="H41" i="1"/>
  <c r="K58" i="1"/>
  <c r="H76" i="1"/>
  <c r="K41" i="1"/>
  <c r="G120" i="1"/>
  <c r="M18" i="1"/>
  <c r="L53" i="1"/>
  <c r="I48" i="1"/>
  <c r="H20" i="1"/>
  <c r="J20" i="1"/>
  <c r="L20" i="1"/>
  <c r="I18" i="1"/>
  <c r="H82" i="1"/>
  <c r="H38" i="1"/>
  <c r="H28" i="1"/>
  <c r="H53" i="1"/>
  <c r="L55" i="1"/>
  <c r="K48" i="1"/>
  <c r="M38" i="1"/>
  <c r="K50" i="1"/>
  <c r="K31" i="1"/>
  <c r="H16" i="1"/>
  <c r="H46" i="1"/>
  <c r="K54" i="1"/>
  <c r="I54" i="1"/>
  <c r="L52" i="1"/>
  <c r="K52" i="1"/>
  <c r="J52" i="1"/>
  <c r="H6" i="1"/>
  <c r="L21" i="1"/>
  <c r="L60" i="1"/>
  <c r="K60" i="1"/>
  <c r="J60" i="1"/>
  <c r="H60" i="1"/>
  <c r="H10" i="1"/>
  <c r="H19" i="1"/>
  <c r="H21" i="1"/>
  <c r="H17" i="1"/>
  <c r="L57" i="1"/>
  <c r="K57" i="1"/>
  <c r="H57" i="1"/>
  <c r="K6" i="1"/>
  <c r="L37" i="1"/>
  <c r="J37" i="1"/>
  <c r="M44" i="1"/>
  <c r="L44" i="1"/>
  <c r="H32" i="1"/>
  <c r="J56" i="1"/>
  <c r="I56" i="1"/>
  <c r="J46" i="1"/>
  <c r="L41" i="1"/>
  <c r="K55" i="1"/>
  <c r="I55" i="1"/>
  <c r="H55" i="1"/>
  <c r="K81" i="1"/>
  <c r="H47" i="1"/>
  <c r="M47" i="1"/>
  <c r="H40" i="1"/>
  <c r="J55" i="1"/>
  <c r="I81" i="1"/>
  <c r="H59" i="1"/>
  <c r="H80" i="1"/>
  <c r="C120" i="1"/>
  <c r="H66" i="1"/>
  <c r="H73" i="1"/>
  <c r="I13" i="1"/>
  <c r="J11" i="1"/>
  <c r="M15" i="1"/>
  <c r="H2" i="1"/>
  <c r="H9" i="1"/>
  <c r="H5" i="1"/>
  <c r="J13" i="1"/>
  <c r="K11" i="1"/>
  <c r="J15" i="1"/>
  <c r="I20" i="1"/>
  <c r="M20" i="1"/>
  <c r="M31" i="1"/>
  <c r="H24" i="1"/>
  <c r="H35" i="1"/>
  <c r="H26" i="1"/>
  <c r="K13" i="1"/>
  <c r="L11" i="1"/>
  <c r="H22" i="1"/>
  <c r="K15" i="1"/>
  <c r="H7" i="1"/>
  <c r="H8" i="1"/>
  <c r="H3" i="1"/>
  <c r="H13" i="1"/>
  <c r="L13" i="1"/>
  <c r="H11" i="1"/>
  <c r="M11" i="1"/>
  <c r="H15" i="1"/>
  <c r="L15" i="1"/>
  <c r="K20" i="1"/>
  <c r="H31" i="1"/>
  <c r="L31" i="1"/>
  <c r="H12" i="1"/>
  <c r="L18" i="1"/>
  <c r="H18" i="1"/>
  <c r="J18" i="1"/>
  <c r="H23" i="1"/>
  <c r="M13" i="1"/>
  <c r="I15" i="1"/>
  <c r="H14" i="1"/>
  <c r="M21" i="1"/>
  <c r="H25" i="1"/>
  <c r="K37" i="1"/>
  <c r="K21" i="1"/>
  <c r="I37" i="1"/>
  <c r="M37" i="1"/>
  <c r="L38" i="1"/>
  <c r="H29" i="1"/>
  <c r="H27" i="1"/>
  <c r="H44" i="1"/>
  <c r="K44" i="1"/>
  <c r="M41" i="1"/>
  <c r="I41" i="1"/>
  <c r="J41" i="1"/>
  <c r="H49" i="1"/>
  <c r="H33" i="1"/>
  <c r="L47" i="1"/>
  <c r="J50" i="1"/>
  <c r="H43" i="1"/>
  <c r="L42" i="1"/>
  <c r="K51" i="1"/>
  <c r="H39" i="1"/>
  <c r="I53" i="1"/>
  <c r="H54" i="1"/>
  <c r="L54" i="1"/>
  <c r="J57" i="1"/>
  <c r="H48" i="1"/>
  <c r="M52" i="1"/>
  <c r="M42" i="1"/>
  <c r="L51" i="1"/>
  <c r="H36" i="1"/>
  <c r="L50" i="1"/>
  <c r="H42" i="1"/>
  <c r="H51" i="1"/>
  <c r="K53" i="1"/>
  <c r="J54" i="1"/>
  <c r="H81" i="1"/>
  <c r="H34" i="1"/>
  <c r="H50" i="1"/>
  <c r="K42" i="1"/>
  <c r="J51" i="1"/>
  <c r="H56" i="1"/>
  <c r="L56" i="1"/>
  <c r="H67" i="1"/>
  <c r="H58" i="1"/>
  <c r="H69" i="1"/>
  <c r="H78" i="1"/>
  <c r="J65" i="1"/>
  <c r="H68" i="1"/>
  <c r="H72" i="1"/>
  <c r="K56" i="1"/>
  <c r="H65" i="1"/>
  <c r="H75" i="1"/>
  <c r="H74" i="1"/>
  <c r="B14" i="26" l="1"/>
  <c r="H120" i="1"/>
  <c r="E121" i="1"/>
  <c r="D121" i="1"/>
  <c r="D11" i="26"/>
  <c r="D12" i="26" l="1"/>
  <c r="D8" i="26"/>
  <c r="D7" i="26"/>
  <c r="D9" i="26"/>
  <c r="D4" i="26"/>
  <c r="D13" i="26"/>
  <c r="D5" i="26"/>
  <c r="D10" i="26"/>
  <c r="D6" i="26"/>
  <c r="D14" i="26" l="1"/>
</calcChain>
</file>

<file path=xl/comments1.xml><?xml version="1.0" encoding="utf-8"?>
<comments xmlns="http://schemas.openxmlformats.org/spreadsheetml/2006/main">
  <authors>
    <author>Nathalie BLANDINO</author>
  </authors>
  <commentList>
    <comment ref="N23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G5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</commentList>
</comments>
</file>

<file path=xl/sharedStrings.xml><?xml version="1.0" encoding="utf-8"?>
<sst xmlns="http://schemas.openxmlformats.org/spreadsheetml/2006/main" count="357" uniqueCount="149">
  <si>
    <t>OPERATION</t>
  </si>
  <si>
    <t>N</t>
  </si>
  <si>
    <t>LLS</t>
  </si>
  <si>
    <t>LLTS</t>
  </si>
  <si>
    <t xml:space="preserve">Manapany </t>
  </si>
  <si>
    <t>Takamaka</t>
  </si>
  <si>
    <t>RPA Chaloupe</t>
  </si>
  <si>
    <t>PIVET-VELIN</t>
  </si>
  <si>
    <t>Palissandre</t>
  </si>
  <si>
    <t>Rue de l'Eglise</t>
  </si>
  <si>
    <t>Lots</t>
  </si>
  <si>
    <t>Josepha Fontaine</t>
  </si>
  <si>
    <t>SF</t>
  </si>
  <si>
    <t xml:space="preserve">Avenue Raymond Barre </t>
  </si>
  <si>
    <t>Desiré 2</t>
  </si>
  <si>
    <t xml:space="preserve">Sceau de Salomon </t>
  </si>
  <si>
    <t>Bouton d'Or (Tampon 15e km)</t>
  </si>
  <si>
    <t>Le Cap (BH 228)</t>
  </si>
  <si>
    <t xml:space="preserve">Laurency </t>
  </si>
  <si>
    <t>Poker d'As LLS</t>
  </si>
  <si>
    <t>Poker d'As LLTS</t>
  </si>
  <si>
    <t xml:space="preserve">Lavoir </t>
  </si>
  <si>
    <t xml:space="preserve">P'titCanal  LLS       </t>
  </si>
  <si>
    <t>P'titCanal         LLTS</t>
  </si>
  <si>
    <t>SF / lgt</t>
  </si>
  <si>
    <t>Pkgs couverts</t>
  </si>
  <si>
    <t>oui</t>
  </si>
  <si>
    <t>non</t>
  </si>
  <si>
    <t>TYPE</t>
  </si>
  <si>
    <t>SF priorisée</t>
  </si>
  <si>
    <t>ok</t>
  </si>
  <si>
    <t>FANFAN</t>
  </si>
  <si>
    <t>JULES VIENNE</t>
  </si>
  <si>
    <t>DESIRE</t>
  </si>
  <si>
    <t>S espaces verts collectifs</t>
  </si>
  <si>
    <t>Terrain Michel CV</t>
  </si>
  <si>
    <t>S ANC</t>
  </si>
  <si>
    <t>N niveaux lgt y/c RDC</t>
  </si>
  <si>
    <t>4/5</t>
  </si>
  <si>
    <t>B</t>
  </si>
  <si>
    <t>Notation</t>
  </si>
  <si>
    <t>Fiche Présentation</t>
  </si>
  <si>
    <t>ANC</t>
  </si>
  <si>
    <t>Emprise ANC</t>
  </si>
  <si>
    <t>T1</t>
  </si>
  <si>
    <t>T2</t>
  </si>
  <si>
    <t>T3</t>
  </si>
  <si>
    <t>T4</t>
  </si>
  <si>
    <t>T5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</si>
  <si>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</si>
  <si>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A</t>
  </si>
  <si>
    <t>BY 100</t>
  </si>
  <si>
    <t xml:space="preserve">Bras Moutons </t>
  </si>
  <si>
    <t>Ilot 6.2</t>
  </si>
  <si>
    <t>Chemin EDF</t>
  </si>
  <si>
    <t>Jamalac</t>
  </si>
  <si>
    <t>Lacaussade 3</t>
  </si>
  <si>
    <t>RPA mixte St Philippe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</si>
  <si>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</si>
  <si>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Paille en Queue</t>
  </si>
  <si>
    <t>Verveine des Indes (Ilôt 5.1)</t>
  </si>
  <si>
    <t>FAHAM (Ilôt 5.6)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</si>
  <si>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Galabert</t>
    </r>
  </si>
  <si>
    <t>Z'ambaville (AX 18)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</si>
  <si>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</si>
  <si>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t>Les Kakis</t>
  </si>
  <si>
    <t>Les Bras de la Plaine</t>
  </si>
  <si>
    <t>OS démarrage</t>
  </si>
  <si>
    <r>
      <rPr>
        <b/>
        <sz val="11"/>
        <color rgb="FFFF0000"/>
        <rFont val="Calibri"/>
        <family val="2"/>
        <scheme val="minor"/>
      </rPr>
      <t>VEFA LLS</t>
    </r>
    <r>
      <rPr>
        <b/>
        <sz val="11"/>
        <rFont val="Calibri"/>
        <family val="2"/>
        <scheme val="minor"/>
      </rPr>
      <t xml:space="preserve"> 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</si>
  <si>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 LLTS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</si>
  <si>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</si>
  <si>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</si>
  <si>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t>Fleurs jaunes (Ilôt 6.1)</t>
  </si>
  <si>
    <t>Jules Arlandas (Alamandas)</t>
  </si>
  <si>
    <t>x</t>
  </si>
  <si>
    <t>RPA Du Parc</t>
  </si>
  <si>
    <t>Tamariniers LLS</t>
  </si>
  <si>
    <t>Tamariniers LLTS</t>
  </si>
  <si>
    <t>Barrage LLTS</t>
  </si>
  <si>
    <t>Barrage LLS</t>
  </si>
  <si>
    <t>Mises en chantier</t>
  </si>
  <si>
    <t>Livraisons</t>
  </si>
  <si>
    <t xml:space="preserve">Les Platanes 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</si>
  <si>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PISCINE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</si>
  <si>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TRISCOTTE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</si>
  <si>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APAYA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</si>
  <si>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EPERON</t>
    </r>
  </si>
  <si>
    <t xml:space="preserve">Hortensias </t>
  </si>
  <si>
    <t>Amata (HE 168)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</si>
  <si>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GIRDARY</t>
    </r>
  </si>
  <si>
    <t>CD 61 Rue Bertaut LLTS</t>
  </si>
  <si>
    <t>Jean MOREL (Amaryllis)</t>
  </si>
  <si>
    <t>Max GOBETTI (AUBEPINES)</t>
  </si>
  <si>
    <t>Lié ETHEVE (Poker As 2)</t>
  </si>
  <si>
    <t>CD 61 Rue Bertaut LLS</t>
  </si>
  <si>
    <t>Plaine St Paul</t>
  </si>
  <si>
    <t>Harry PAYET (Les Mimosas)</t>
  </si>
  <si>
    <t xml:space="preserve">Dakota </t>
  </si>
  <si>
    <t>Arizona</t>
  </si>
  <si>
    <t>Californie</t>
  </si>
  <si>
    <t>Chataigners</t>
  </si>
  <si>
    <t>Gallien</t>
  </si>
  <si>
    <t>Les Fourragères (Odyssée)</t>
  </si>
  <si>
    <t>Coco Huet (Parc à Moutons)</t>
  </si>
  <si>
    <t>INDIGO LLS</t>
  </si>
  <si>
    <t>INDIGO LLTS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</si>
  <si>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Ancien Hopital</t>
    </r>
  </si>
  <si>
    <t>CROUS St Pierre</t>
  </si>
  <si>
    <t>PLS</t>
  </si>
  <si>
    <t>CROUS Tampon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</si>
  <si>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KASKAVEL</t>
    </r>
  </si>
  <si>
    <t>CESARIA</t>
  </si>
  <si>
    <t>JEAN PETIT</t>
  </si>
  <si>
    <t>Bougainvillées</t>
  </si>
  <si>
    <t>Rehab</t>
  </si>
  <si>
    <t>100 marches</t>
  </si>
  <si>
    <t>Caramboles</t>
  </si>
  <si>
    <t>Hubert Delisle</t>
  </si>
  <si>
    <t>Citronnelles</t>
  </si>
  <si>
    <t>Bras des Etangs</t>
  </si>
  <si>
    <t>La Cure</t>
  </si>
  <si>
    <t>Canal Lilis</t>
  </si>
  <si>
    <t>Poinsétias</t>
  </si>
  <si>
    <t>Bellevue A-B-C</t>
  </si>
  <si>
    <t>Chapelle</t>
  </si>
  <si>
    <t>Casabianca</t>
  </si>
  <si>
    <t>Chemin Galet 1</t>
  </si>
  <si>
    <t>Chemin Galet 2</t>
  </si>
  <si>
    <t>Les Orchidées</t>
  </si>
  <si>
    <t>Le Choka Bleu</t>
  </si>
  <si>
    <t>La Cure 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</si>
  <si>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NORSA INVEST</t>
    </r>
  </si>
  <si>
    <t>CAPRICORNE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</si>
  <si>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LES SERINS</t>
    </r>
  </si>
  <si>
    <t>BRAS CANOT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</si>
  <si>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ELISA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</si>
  <si>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BOIS DE SOURCE</t>
    </r>
  </si>
  <si>
    <t>3 MARES</t>
  </si>
  <si>
    <t>BY 644</t>
  </si>
  <si>
    <t>MONSEIGNEURE DE BEAUMONT</t>
  </si>
  <si>
    <t>RPA Alamandas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</si>
  <si>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TREFLES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</si>
  <si>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ANTARES</t>
    </r>
  </si>
  <si>
    <t>Terre des chènes</t>
  </si>
  <si>
    <r>
      <t xml:space="preserve">VEFA </t>
    </r>
    <r>
      <rPr>
        <b/>
        <sz val="11"/>
        <rFont val="Calibri"/>
        <family val="2"/>
        <scheme val="minor"/>
      </rPr>
      <t>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</si>
  <si>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</si>
  <si>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t>INDIGO Tranche 1</t>
  </si>
  <si>
    <t>MISES EN CHANTIER &amp; LIVRAISONS</t>
  </si>
  <si>
    <t xml:space="preserve">Avancement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</si>
</sst>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€_-;\-* #,##0\ _€_-;_-* &quot;-&quot;\ _€_-;_-@_-"/>
    <numFmt numFmtId="43" formatCode="_-* #,##0.00\ _€_-;\-* #,##0.00\ _€_-;_-* &quot;-&quot;??\ _€_-;_-@_-"/>
    <numFmt numFmtId="164" formatCode="dd/mm/yy;@"/>
    <numFmt numFmtId="165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sz val="10"/>
      <name val="Arial"/>
      <family val="2"/>
    </font>
    <font>
      <sz val="11"/>
      <color rgb="FFFF505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  <xf numFmtId="165" fontId="10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4" fontId="0" fillId="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0" fillId="0" borderId="0" xfId="2" applyFont="1" applyAlignment="1">
      <alignment horizontal="center"/>
    </xf>
    <xf numFmtId="3" fontId="0" fillId="0" borderId="2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4" fontId="0" fillId="2" borderId="3" xfId="0" applyNumberFormat="1" applyFont="1" applyFill="1" applyBorder="1" applyAlignment="1">
      <alignment horizontal="center" vertical="center"/>
    </xf>
    <xf numFmtId="4" fontId="6" fillId="2" borderId="3" xfId="0" applyNumberFormat="1" applyFont="1" applyFill="1" applyBorder="1" applyAlignment="1">
      <alignment horizontal="center" vertical="center"/>
    </xf>
    <xf numFmtId="3" fontId="0" fillId="2" borderId="3" xfId="0" applyNumberFormat="1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41" fontId="0" fillId="2" borderId="3" xfId="0" applyNumberFormat="1" applyFont="1" applyFill="1" applyBorder="1" applyAlignment="1">
      <alignment horizontal="center" vertical="center"/>
    </xf>
    <xf numFmtId="41" fontId="6" fillId="2" borderId="3" xfId="0" applyNumberFormat="1" applyFont="1" applyFill="1" applyBorder="1" applyAlignment="1">
      <alignment horizontal="center" vertical="center"/>
    </xf>
    <xf numFmtId="9" fontId="0" fillId="2" borderId="3" xfId="2" applyFont="1" applyFill="1" applyBorder="1" applyAlignment="1">
      <alignment horizontal="center" vertical="center"/>
    </xf>
    <xf numFmtId="9" fontId="6" fillId="2" borderId="3" xfId="2" applyFont="1" applyFill="1" applyBorder="1" applyAlignment="1">
      <alignment horizontal="center" vertical="center"/>
    </xf>
    <xf numFmtId="9" fontId="0" fillId="2" borderId="0" xfId="2" applyFont="1" applyFill="1" applyBorder="1" applyAlignment="1">
      <alignment horizontal="center"/>
    </xf>
    <xf numFmtId="4" fontId="0" fillId="6" borderId="1" xfId="0" applyNumberFormat="1" applyFont="1" applyFill="1" applyBorder="1" applyAlignment="1">
      <alignment horizontal="center" vertical="center"/>
    </xf>
    <xf numFmtId="4" fontId="6" fillId="6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" fontId="0" fillId="0" borderId="2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" fontId="7" fillId="6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4" fontId="0" fillId="6" borderId="3" xfId="0" applyNumberFormat="1" applyFont="1" applyFill="1" applyBorder="1" applyAlignment="1">
      <alignment horizontal="center" vertical="center"/>
    </xf>
    <xf numFmtId="9" fontId="0" fillId="0" borderId="0" xfId="2" applyFont="1" applyBorder="1" applyAlignment="1">
      <alignment horizontal="center"/>
    </xf>
    <xf numFmtId="41" fontId="0" fillId="2" borderId="1" xfId="0" applyNumberFormat="1" applyFont="1" applyFill="1" applyBorder="1" applyAlignment="1">
      <alignment horizontal="center" vertical="center"/>
    </xf>
    <xf numFmtId="9" fontId="0" fillId="5" borderId="3" xfId="2" applyFont="1" applyFill="1" applyBorder="1" applyAlignment="1">
      <alignment horizontal="center" vertical="center"/>
    </xf>
    <xf numFmtId="164" fontId="6" fillId="7" borderId="3" xfId="1" applyNumberFormat="1" applyFont="1" applyFill="1" applyBorder="1" applyAlignment="1">
      <alignment horizontal="center" vertical="center"/>
    </xf>
    <xf numFmtId="164" fontId="0" fillId="7" borderId="3" xfId="0" applyNumberFormat="1" applyFont="1" applyFill="1" applyBorder="1" applyAlignment="1">
      <alignment horizontal="center" vertical="center"/>
    </xf>
    <xf numFmtId="1" fontId="6" fillId="2" borderId="3" xfId="0" applyNumberFormat="1" applyFont="1" applyFill="1" applyBorder="1" applyAlignment="1">
      <alignment horizontal="center" vertical="center"/>
    </xf>
    <xf numFmtId="3" fontId="0" fillId="2" borderId="1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41" fontId="0" fillId="2" borderId="0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41" fontId="0" fillId="0" borderId="0" xfId="0" applyNumberFormat="1" applyFont="1" applyBorder="1" applyAlignment="1">
      <alignment horizontal="center"/>
    </xf>
    <xf numFmtId="9" fontId="0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41" fontId="3" fillId="2" borderId="3" xfId="0" applyNumberFormat="1" applyFont="1" applyFill="1" applyBorder="1" applyAlignment="1">
      <alignment horizontal="center" vertical="center" wrapText="1"/>
    </xf>
    <xf numFmtId="9" fontId="3" fillId="2" borderId="3" xfId="2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41" fontId="0" fillId="5" borderId="3" xfId="0" applyNumberFormat="1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horizontal="center" vertical="center"/>
    </xf>
    <xf numFmtId="1" fontId="0" fillId="2" borderId="3" xfId="0" applyNumberFormat="1" applyFont="1" applyFill="1" applyBorder="1" applyAlignment="1">
      <alignment horizontal="center" vertical="center"/>
    </xf>
    <xf numFmtId="0" fontId="3" fillId="9" borderId="3" xfId="1" applyNumberFormat="1" applyFont="1" applyFill="1" applyBorder="1" applyAlignment="1">
      <alignment horizontal="center" vertical="center" wrapText="1"/>
    </xf>
    <xf numFmtId="4" fontId="7" fillId="6" borderId="1" xfId="0" applyNumberFormat="1" applyFont="1" applyFill="1" applyBorder="1" applyAlignment="1">
      <alignment horizontal="center" vertical="center"/>
    </xf>
    <xf numFmtId="164" fontId="6" fillId="8" borderId="3" xfId="1" applyNumberFormat="1" applyFont="1" applyFill="1" applyBorder="1" applyAlignment="1">
      <alignment horizontal="center" vertical="center"/>
    </xf>
    <xf numFmtId="164" fontId="6" fillId="8" borderId="3" xfId="0" applyNumberFormat="1" applyFont="1" applyFill="1" applyBorder="1" applyAlignment="1">
      <alignment horizontal="center" vertical="center"/>
    </xf>
    <xf numFmtId="164" fontId="1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" fontId="0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4" fontId="6" fillId="6" borderId="3" xfId="0" applyNumberFormat="1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41" fontId="7" fillId="2" borderId="3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0" fontId="4" fillId="0" borderId="6" xfId="0" applyFont="1" applyBorder="1"/>
    <xf numFmtId="0" fontId="0" fillId="0" borderId="0" xfId="0" applyBorder="1"/>
    <xf numFmtId="0" fontId="0" fillId="0" borderId="8" xfId="0" applyBorder="1"/>
    <xf numFmtId="0" fontId="0" fillId="0" borderId="6" xfId="0" applyBorder="1"/>
    <xf numFmtId="0" fontId="0" fillId="3" borderId="6" xfId="0" applyFon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3" fontId="4" fillId="13" borderId="0" xfId="0" applyNumberFormat="1" applyFont="1" applyFill="1" applyBorder="1" applyAlignment="1">
      <alignment horizontal="center"/>
    </xf>
    <xf numFmtId="3" fontId="4" fillId="14" borderId="0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9" xfId="0" applyBorder="1"/>
    <xf numFmtId="1" fontId="3" fillId="2" borderId="1" xfId="0" applyNumberFormat="1" applyFont="1" applyFill="1" applyBorder="1" applyAlignment="1">
      <alignment horizontal="center"/>
    </xf>
    <xf numFmtId="0" fontId="2" fillId="12" borderId="4" xfId="0" applyFont="1" applyFill="1" applyBorder="1"/>
    <xf numFmtId="41" fontId="0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4" fillId="13" borderId="0" xfId="0" applyFont="1" applyFill="1" applyBorder="1" applyAlignment="1">
      <alignment horizontal="center" vertical="center" wrapText="1"/>
    </xf>
    <xf numFmtId="0" fontId="4" fillId="14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4" xfId="0" applyBorder="1"/>
    <xf numFmtId="1" fontId="0" fillId="11" borderId="0" xfId="0" applyNumberFormat="1" applyFill="1" applyBorder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4" fillId="12" borderId="5" xfId="0" applyFont="1" applyFill="1" applyBorder="1" applyAlignment="1">
      <alignment horizontal="center"/>
    </xf>
    <xf numFmtId="0" fontId="14" fillId="12" borderId="4" xfId="0" applyFont="1" applyFill="1" applyBorder="1" applyAlignment="1">
      <alignment horizontal="center"/>
    </xf>
    <xf numFmtId="0" fontId="0" fillId="8" borderId="0" xfId="0" applyFont="1" applyFill="1" applyAlignment="1">
      <alignment horizontal="center" vertical="center"/>
    </xf>
  </cellXfs>
  <cellStyles count="5">
    <cellStyle name="Milliers" xfId="1" builtinId="3"/>
    <cellStyle name="Milliers 2" xfId="4"/>
    <cellStyle name="Normal" xfId="0" builtinId="0"/>
    <cellStyle name="Normal 2" xfId="3"/>
    <cellStyle name="Pourcentage" xfId="2" builtinId="5"/>
  </cellStyles>
  <dxfs count="0"/>
  <tableStyles count="0" defaultTableStyle="TableStyleMedium2" defaultPivotStyle="PivotStyleLight16"/>
  <colors>
    <mruColors>
      <color rgb="FF08E61D"/>
      <color rgb="FFFF0066"/>
      <color rgb="FF0099FF"/>
      <color rgb="FFFF5050"/>
      <color rgb="FFFFFF99"/>
      <color rgb="FF00660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Mises en chantier -</a:t>
            </a:r>
            <a:r>
              <a:rPr lang="fr-FR" baseline="0"/>
              <a:t> Livraisons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SYNTHESE!$B$3</c:f>
              <c:strCache>
                <c:ptCount val="1"/>
                <c:pt idx="0">
                  <c:v>Mises en chantier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SYNTHESE!$A$4:$A$13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SYNTHESE!$B$4:$B$13</c:f>
              <c:numCache>
                <c:formatCode>General</c:formatCode>
                <c:ptCount val="10"/>
                <c:pt idx="0">
                  <c:v>127</c:v>
                </c:pt>
                <c:pt idx="1">
                  <c:v>64</c:v>
                </c:pt>
                <c:pt idx="2">
                  <c:v>400</c:v>
                </c:pt>
                <c:pt idx="3">
                  <c:v>278</c:v>
                </c:pt>
                <c:pt idx="4">
                  <c:v>222</c:v>
                </c:pt>
                <c:pt idx="5">
                  <c:v>48</c:v>
                </c:pt>
                <c:pt idx="6">
                  <c:v>1023</c:v>
                </c:pt>
                <c:pt idx="7">
                  <c:v>329</c:v>
                </c:pt>
                <c:pt idx="8">
                  <c:v>0</c:v>
                </c:pt>
                <c:pt idx="9">
                  <c:v>48</c:v>
                </c:pt>
              </c:numCache>
            </c:numRef>
          </c:val>
        </c:ser>
        <c:ser>
          <c:idx val="1"/>
          <c:order val="1"/>
          <c:tx>
            <c:strRef>
              <c:f>SYNTHESE!$D$3</c:f>
              <c:strCache>
                <c:ptCount val="1"/>
                <c:pt idx="0">
                  <c:v>Livraisons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SYNTHESE!$A$4:$A$13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SYNTHESE!$D$4:$D$13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6929664"/>
        <c:axId val="336930448"/>
      </c:barChart>
      <c:catAx>
        <c:axId val="33692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930448"/>
        <c:crosses val="autoZero"/>
        <c:auto val="1"/>
        <c:lblAlgn val="ctr"/>
        <c:lblOffset val="100"/>
        <c:noMultiLvlLbl val="0"/>
      </c:catAx>
      <c:valAx>
        <c:axId val="33693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6929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605517</xdr:colOff>
      <xdr:row>1</xdr:row>
      <xdr:rowOff>95248</xdr:rowOff>
    </xdr:from>
    <xdr:to>
      <xdr:col>11</xdr:col>
      <xdr:colOff>721179</xdr:colOff>
      <xdr:row>14</xdr:row>
      <xdr:rowOff>136070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mmeSICouleur_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SommeSi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  <pageSetUpPr fitToPage="1"/>
  </sheetPr>
  <dimension ref="A1:M15"/>
  <sheetViews>
    <sheetView topLeftCell="A6" zoomScale="70" zoomScaleNormal="70" workbookViewId="0">
      <selection activeCell="O12" sqref="O12"/>
    </sheetView>
  </sheetViews>
  <sheetFormatPr baseColWidth="10" defaultRowHeight="15" x14ac:dyDescent="0.25"/>
  <cols>
    <col min="1" max="1" width="11.5703125" customWidth="1"/>
    <col min="2" max="2" width="14.5703125" customWidth="1"/>
    <col min="3" max="3" width="15.42578125" customWidth="1"/>
    <col min="5" max="5" width="17.28515625" customWidth="1"/>
  </cols>
  <sheetData>
    <row r="1" spans="1:13" ht="15.75" thickBot="1" x14ac:dyDescent="0.3">
      <c r="A1" s="110" t="s">
        <v>147</v>
      </c>
      <c r="B1" s="111"/>
      <c r="C1" s="111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x14ac:dyDescent="0.25">
      <c r="A2" s="86"/>
      <c r="B2" s="87"/>
      <c r="C2" s="87"/>
      <c r="D2" s="87"/>
      <c r="E2" s="87"/>
      <c r="F2" s="87"/>
      <c r="G2" s="87"/>
      <c r="H2" s="87"/>
      <c r="I2" s="87"/>
      <c r="J2" s="87"/>
      <c r="K2" s="107"/>
      <c r="L2" s="87"/>
      <c r="M2" s="88"/>
    </row>
    <row r="3" spans="1:13" s="101" customFormat="1" ht="30" x14ac:dyDescent="0.25">
      <c r="A3" s="102"/>
      <c r="B3" s="103" t="s">
        <v>80</v>
      </c>
      <c r="C3" s="103" t="s">
        <v>148</v>
      </c>
      <c r="D3" s="104" t="s">
        <v>81</v>
      </c>
      <c r="E3" s="104" t="s">
        <v>148</v>
      </c>
      <c r="F3" s="105"/>
      <c r="G3" s="105"/>
      <c r="H3" s="105"/>
      <c r="I3" s="105"/>
      <c r="J3" s="105"/>
      <c r="K3" s="105"/>
      <c r="L3" s="105"/>
      <c r="M3" s="106"/>
    </row>
    <row r="4" spans="1:13" x14ac:dyDescent="0.25">
      <c r="A4" s="90">
        <v>2011</v>
      </c>
      <c r="B4" s="91">
        <f>SUMPRODUCT((YEAR(OS)=2011)*Nlgts)</f>
        <v>127</v>
      </c>
      <c r="C4" s="91"/>
      <c r="D4" s="92" t="e">
        <f>SUMPRODUCT((YEAR(Livraison)=2011)*(Nlgts))</f>
        <v>#REF!</v>
      </c>
      <c r="E4" s="92"/>
      <c r="F4" s="87"/>
      <c r="G4" s="87"/>
      <c r="H4" s="87"/>
      <c r="I4" s="87"/>
      <c r="J4" s="87"/>
      <c r="K4" s="87"/>
      <c r="L4" s="87"/>
      <c r="M4" s="88"/>
    </row>
    <row r="5" spans="1:13" x14ac:dyDescent="0.25">
      <c r="A5" s="90">
        <v>2012</v>
      </c>
      <c r="B5" s="91">
        <f>SUMPRODUCT((YEAR(OS)=2012)*Nlgts)</f>
        <v>64</v>
      </c>
      <c r="C5" s="91"/>
      <c r="D5" s="92" t="e">
        <f>SUMPRODUCT((YEAR(Livraison)=2012)*(Nlgts))</f>
        <v>#REF!</v>
      </c>
      <c r="E5" s="92"/>
      <c r="F5" s="87"/>
      <c r="G5" s="87"/>
      <c r="H5" s="87"/>
      <c r="I5" s="87"/>
      <c r="J5" s="87"/>
      <c r="K5" s="87"/>
      <c r="L5" s="87"/>
      <c r="M5" s="88"/>
    </row>
    <row r="6" spans="1:13" x14ac:dyDescent="0.25">
      <c r="A6" s="90">
        <v>2013</v>
      </c>
      <c r="B6" s="91">
        <f>SUMPRODUCT((YEAR(OS)=2013)*Nlgts)</f>
        <v>400</v>
      </c>
      <c r="C6" s="91"/>
      <c r="D6" s="92" t="e">
        <f>SUMPRODUCT((YEAR(Livraison)=2013)*(Nlgts))</f>
        <v>#REF!</v>
      </c>
      <c r="E6" s="92"/>
      <c r="F6" s="87"/>
      <c r="G6" s="87"/>
      <c r="H6" s="87"/>
      <c r="I6" s="87"/>
      <c r="J6" s="87"/>
      <c r="K6" s="87"/>
      <c r="L6" s="87"/>
      <c r="M6" s="88"/>
    </row>
    <row r="7" spans="1:13" x14ac:dyDescent="0.25">
      <c r="A7" s="90">
        <v>2014</v>
      </c>
      <c r="B7" s="91">
        <f>SUMPRODUCT((YEAR(OS)=2014)*Nlgts)</f>
        <v>278</v>
      </c>
      <c r="C7" s="91"/>
      <c r="D7" s="92" t="e">
        <f>SUMPRODUCT((YEAR(Livraison)=2014)*(Nlgts))</f>
        <v>#REF!</v>
      </c>
      <c r="E7" s="92"/>
      <c r="F7" s="87"/>
      <c r="G7" s="87"/>
      <c r="H7" s="87"/>
      <c r="I7" s="87"/>
      <c r="J7" s="87"/>
      <c r="K7" s="87"/>
      <c r="L7" s="87"/>
      <c r="M7" s="88"/>
    </row>
    <row r="8" spans="1:13" x14ac:dyDescent="0.25">
      <c r="A8" s="90">
        <v>2015</v>
      </c>
      <c r="B8" s="91">
        <f>SUMPRODUCT((YEAR(OS)=2015)*Nlgts)</f>
        <v>222</v>
      </c>
      <c r="C8" s="91"/>
      <c r="D8" s="92" t="e">
        <f>SUMPRODUCT((YEAR(Livraison)=2015)*(Nlgts))</f>
        <v>#REF!</v>
      </c>
      <c r="E8" s="92"/>
      <c r="F8" s="87"/>
      <c r="G8" s="87"/>
      <c r="H8" s="87"/>
      <c r="I8" s="87"/>
      <c r="J8" s="87"/>
      <c r="K8" s="87"/>
      <c r="L8" s="87"/>
      <c r="M8" s="88"/>
    </row>
    <row r="9" spans="1:13" x14ac:dyDescent="0.25">
      <c r="A9" s="90">
        <v>2016</v>
      </c>
      <c r="B9" s="91">
        <f>SUMPRODUCT((YEAR(OS)=2016)*Nlgts)</f>
        <v>48</v>
      </c>
      <c r="C9" s="91"/>
      <c r="D9" s="92" t="e">
        <f>SUMPRODUCT((YEAR(Livraison)=2016)*(Nlgts))</f>
        <v>#REF!</v>
      </c>
      <c r="E9" s="92"/>
      <c r="F9" s="87"/>
      <c r="G9" s="87"/>
      <c r="H9" s="87"/>
      <c r="I9" s="87"/>
      <c r="J9" s="87"/>
      <c r="K9" s="87"/>
      <c r="L9" s="87"/>
      <c r="M9" s="88"/>
    </row>
    <row r="10" spans="1:13" x14ac:dyDescent="0.25">
      <c r="A10" s="93">
        <v>2017</v>
      </c>
      <c r="B10" s="91">
        <f>SUMPRODUCT((YEAR(OS)=2017)*Nlgts)</f>
        <v>1023</v>
      </c>
      <c r="C10" s="108">
        <f>'Données initiales'!C40+'Données initiales'!C41+'Données initiales'!C42+'Données initiales'!C43+'Données initiales'!C44+'Données initiales'!C45+'Données initiales'!C46</f>
        <v>211</v>
      </c>
      <c r="D10" s="92" t="e">
        <f>SUMPRODUCT((YEAR(Livraison)=2017)*(Nlgts))</f>
        <v>#REF!</v>
      </c>
      <c r="E10" s="92"/>
      <c r="F10" s="87"/>
      <c r="G10" s="87"/>
      <c r="H10" s="87"/>
      <c r="I10" s="87"/>
      <c r="J10" s="87"/>
      <c r="K10" s="87"/>
      <c r="L10" s="87"/>
      <c r="M10" s="88"/>
    </row>
    <row r="11" spans="1:13" x14ac:dyDescent="0.25">
      <c r="A11" s="93">
        <v>2018</v>
      </c>
      <c r="B11" s="91">
        <f>SUMPRODUCT((YEAR(OS)=2018)*Nlgts)</f>
        <v>329</v>
      </c>
      <c r="C11" s="91"/>
      <c r="D11" s="92" t="e">
        <f>SUMPRODUCT((YEAR(Livraison)=2018)*(Nlgts))</f>
        <v>#REF!</v>
      </c>
      <c r="E11" s="92"/>
      <c r="F11" s="87"/>
      <c r="G11" s="87"/>
      <c r="H11" s="87"/>
      <c r="I11" s="87"/>
      <c r="J11" s="87"/>
      <c r="K11" s="87"/>
      <c r="L11" s="87"/>
      <c r="M11" s="88"/>
    </row>
    <row r="12" spans="1:13" x14ac:dyDescent="0.25">
      <c r="A12" s="93">
        <v>2019</v>
      </c>
      <c r="B12" s="91">
        <f>SUMPRODUCT((YEAR(OS)=20191)*Nlgts)</f>
        <v>0</v>
      </c>
      <c r="C12" s="91"/>
      <c r="D12" s="92" t="e">
        <f>SUMPRODUCT((YEAR(Livraison)=2019)*(Nlgts))</f>
        <v>#REF!</v>
      </c>
      <c r="E12" s="92"/>
      <c r="F12" s="87"/>
      <c r="G12" s="87"/>
      <c r="H12" s="87"/>
      <c r="I12" s="87"/>
      <c r="J12" s="87"/>
      <c r="K12" s="87"/>
      <c r="L12" s="87"/>
      <c r="M12" s="88"/>
    </row>
    <row r="13" spans="1:13" x14ac:dyDescent="0.25">
      <c r="A13" s="93">
        <v>2020</v>
      </c>
      <c r="B13" s="91">
        <f>SUMPRODUCT((YEAR(OS)=2020)*Nlgts)</f>
        <v>48</v>
      </c>
      <c r="C13" s="91"/>
      <c r="D13" s="92" t="e">
        <f>SUMPRODUCT((YEAR(Livraison)=2020)*(Nlgts))</f>
        <v>#REF!</v>
      </c>
      <c r="E13" s="92"/>
      <c r="F13" s="87"/>
      <c r="G13" s="87"/>
      <c r="H13" s="87"/>
      <c r="I13" s="87"/>
      <c r="J13" s="87"/>
      <c r="K13" s="87"/>
      <c r="L13" s="87"/>
      <c r="M13" s="88"/>
    </row>
    <row r="14" spans="1:13" x14ac:dyDescent="0.25">
      <c r="A14" s="89"/>
      <c r="B14" s="94">
        <f>SUM(B4:B13)</f>
        <v>2539</v>
      </c>
      <c r="C14" s="94"/>
      <c r="D14" s="95" t="e">
        <f>SUM(D4:D13)</f>
        <v>#REF!</v>
      </c>
      <c r="E14" s="95"/>
      <c r="F14" s="87"/>
      <c r="G14" s="87"/>
      <c r="H14" s="87"/>
      <c r="I14" s="87"/>
      <c r="J14" s="87"/>
      <c r="K14" s="87"/>
      <c r="L14" s="87"/>
      <c r="M14" s="88"/>
    </row>
    <row r="15" spans="1:13" ht="15.75" thickBot="1" x14ac:dyDescent="0.3">
      <c r="A15" s="96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87"/>
      <c r="M15" s="88"/>
    </row>
  </sheetData>
  <mergeCells count="1">
    <mergeCell ref="A1:C1"/>
  </mergeCells>
  <pageMargins left="0.7" right="0.7" top="0.75" bottom="0.75" header="0.3" footer="0.3"/>
  <pageSetup paperSize="8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tabColor rgb="FF08E61D"/>
    <pageSetUpPr fitToPage="1"/>
  </sheetPr>
  <dimension ref="A1:AE121"/>
  <sheetViews>
    <sheetView tabSelected="1" view="pageBreakPreview" zoomScale="70" zoomScaleNormal="70" zoomScaleSheetLayoutView="70" workbookViewId="0">
      <pane xSplit="1" ySplit="1" topLeftCell="B40" activePane="bottomRight" state="frozen"/>
      <selection pane="topRight" activeCell="B1" sqref="B1"/>
      <selection pane="bottomLeft" activeCell="A2" sqref="A2"/>
      <selection pane="bottomRight" activeCell="W40" sqref="W40"/>
    </sheetView>
  </sheetViews>
  <sheetFormatPr baseColWidth="10" defaultColWidth="11.42578125" defaultRowHeight="15" outlineLevelCol="1" x14ac:dyDescent="0.25"/>
  <cols>
    <col min="1" max="1" width="30.85546875" style="83" customWidth="1"/>
    <col min="2" max="2" width="7.42578125" style="6" customWidth="1"/>
    <col min="3" max="3" width="8.140625" style="6" customWidth="1" collapsed="1"/>
    <col min="4" max="4" width="9.42578125" style="6" customWidth="1"/>
    <col min="5" max="5" width="11.85546875" style="6" customWidth="1" collapsed="1"/>
    <col min="6" max="6" width="11.85546875" style="6" hidden="1" customWidth="1" outlineLevel="1"/>
    <col min="7" max="7" width="12.42578125" style="6" hidden="1" customWidth="1" outlineLevel="1"/>
    <col min="8" max="8" width="10.5703125" style="6" hidden="1" customWidth="1" outlineLevel="1"/>
    <col min="9" max="14" width="15.5703125" style="6" hidden="1" customWidth="1" outlineLevel="1"/>
    <col min="15" max="15" width="15.5703125" style="58" hidden="1" customWidth="1" outlineLevel="1"/>
    <col min="16" max="16" width="15.5703125" style="15" hidden="1" customWidth="1" outlineLevel="1"/>
    <col min="17" max="21" width="15.5703125" style="6" hidden="1" customWidth="1" outlineLevel="1"/>
    <col min="22" max="22" width="15.5703125" style="6" customWidth="1" outlineLevel="1"/>
    <col min="23" max="16384" width="11.42578125" style="6"/>
  </cols>
  <sheetData>
    <row r="1" spans="1:22" s="7" customFormat="1" ht="30" customHeight="1" x14ac:dyDescent="0.25">
      <c r="A1" s="38" t="s">
        <v>0</v>
      </c>
      <c r="B1" s="38" t="s">
        <v>28</v>
      </c>
      <c r="C1" s="38" t="s">
        <v>1</v>
      </c>
      <c r="D1" s="38" t="s">
        <v>2</v>
      </c>
      <c r="E1" s="38" t="s">
        <v>3</v>
      </c>
      <c r="F1" s="38" t="s">
        <v>12</v>
      </c>
      <c r="G1" s="59" t="s">
        <v>29</v>
      </c>
      <c r="H1" s="38" t="s">
        <v>24</v>
      </c>
      <c r="I1" s="43" t="s">
        <v>44</v>
      </c>
      <c r="J1" s="43" t="s">
        <v>45</v>
      </c>
      <c r="K1" s="43" t="s">
        <v>46</v>
      </c>
      <c r="L1" s="43" t="s">
        <v>47</v>
      </c>
      <c r="M1" s="43" t="s">
        <v>48</v>
      </c>
      <c r="N1" s="38" t="s">
        <v>34</v>
      </c>
      <c r="O1" s="60" t="s">
        <v>36</v>
      </c>
      <c r="P1" s="61" t="s">
        <v>43</v>
      </c>
      <c r="Q1" s="43" t="s">
        <v>37</v>
      </c>
      <c r="R1" s="38" t="s">
        <v>10</v>
      </c>
      <c r="S1" s="43" t="s">
        <v>40</v>
      </c>
      <c r="T1" s="43" t="s">
        <v>41</v>
      </c>
      <c r="U1" s="38" t="s">
        <v>25</v>
      </c>
      <c r="V1" s="66" t="s">
        <v>67</v>
      </c>
    </row>
    <row r="2" spans="1:22" s="7" customFormat="1" ht="69.75" hidden="1" customHeight="1" x14ac:dyDescent="0.25">
      <c r="A2" s="2" t="s">
        <v>33</v>
      </c>
      <c r="B2" s="3" t="s">
        <v>3</v>
      </c>
      <c r="C2" s="85">
        <f t="shared" ref="C2:C31" si="0">D2+E2</f>
        <v>27</v>
      </c>
      <c r="D2" s="74"/>
      <c r="E2" s="75">
        <v>27</v>
      </c>
      <c r="F2" s="5">
        <v>2110.92</v>
      </c>
      <c r="G2" s="36">
        <v>2210.4499999999998</v>
      </c>
      <c r="H2" s="5">
        <f t="shared" ref="H2:H44" si="1">G2/C2</f>
        <v>81.868518518518513</v>
      </c>
      <c r="I2" s="33"/>
      <c r="J2" s="33">
        <v>0.22</v>
      </c>
      <c r="K2" s="33">
        <v>0.3</v>
      </c>
      <c r="L2" s="33">
        <v>0.3</v>
      </c>
      <c r="M2" s="33">
        <v>0.19</v>
      </c>
      <c r="N2" s="5">
        <v>1400</v>
      </c>
      <c r="O2" s="31"/>
      <c r="P2" s="33" t="e">
        <f>O2/#REF!</f>
        <v>#REF!</v>
      </c>
      <c r="Q2" s="24">
        <v>3</v>
      </c>
      <c r="R2" s="75">
        <v>4</v>
      </c>
      <c r="S2" s="23"/>
      <c r="T2" s="23"/>
      <c r="U2" s="75" t="s">
        <v>27</v>
      </c>
      <c r="V2" s="49">
        <v>40721</v>
      </c>
    </row>
    <row r="3" spans="1:22" s="7" customFormat="1" ht="60" hidden="1" customHeight="1" x14ac:dyDescent="0.25">
      <c r="A3" s="2" t="s">
        <v>68</v>
      </c>
      <c r="B3" s="21" t="s">
        <v>2</v>
      </c>
      <c r="C3" s="85">
        <f t="shared" si="0"/>
        <v>51</v>
      </c>
      <c r="D3" s="21">
        <v>51</v>
      </c>
      <c r="E3" s="77"/>
      <c r="F3" s="24">
        <v>4837.3599999999997</v>
      </c>
      <c r="G3" s="44">
        <v>4837.3599999999997</v>
      </c>
      <c r="H3" s="24">
        <f t="shared" si="1"/>
        <v>94.850196078431367</v>
      </c>
      <c r="I3" s="24"/>
      <c r="J3" s="24"/>
      <c r="K3" s="24"/>
      <c r="L3" s="24"/>
      <c r="M3" s="24"/>
      <c r="N3" s="24">
        <v>900</v>
      </c>
      <c r="O3" s="31">
        <v>0</v>
      </c>
      <c r="P3" s="33" t="e">
        <f>O3/#REF!</f>
        <v>#REF!</v>
      </c>
      <c r="Q3" s="24"/>
      <c r="R3" s="23"/>
      <c r="S3" s="23"/>
      <c r="T3" s="23"/>
      <c r="U3" s="23" t="s">
        <v>26</v>
      </c>
      <c r="V3" s="49">
        <v>40898</v>
      </c>
    </row>
    <row r="4" spans="1:22" s="7" customFormat="1" ht="57" hidden="1" customHeight="1" x14ac:dyDescent="0.25">
      <c r="A4" s="2" t="s">
        <v>69</v>
      </c>
      <c r="B4" s="3" t="s">
        <v>3</v>
      </c>
      <c r="C4" s="85">
        <f t="shared" si="0"/>
        <v>6</v>
      </c>
      <c r="D4" s="4"/>
      <c r="E4" s="3">
        <v>6</v>
      </c>
      <c r="F4" s="5">
        <v>470.86</v>
      </c>
      <c r="G4" s="36">
        <v>470.86</v>
      </c>
      <c r="H4" s="5">
        <f t="shared" si="1"/>
        <v>78.476666666666674</v>
      </c>
      <c r="I4" s="24"/>
      <c r="J4" s="24"/>
      <c r="K4" s="24"/>
      <c r="L4" s="24"/>
      <c r="M4" s="24"/>
      <c r="N4" s="4"/>
      <c r="O4" s="31">
        <v>0</v>
      </c>
      <c r="P4" s="33" t="e">
        <f>O4/#REF!</f>
        <v>#REF!</v>
      </c>
      <c r="Q4" s="24"/>
      <c r="R4" s="75"/>
      <c r="S4" s="23"/>
      <c r="T4" s="23"/>
      <c r="U4" s="75" t="s">
        <v>26</v>
      </c>
      <c r="V4" s="49">
        <v>40898</v>
      </c>
    </row>
    <row r="5" spans="1:22" s="7" customFormat="1" ht="46.5" hidden="1" customHeight="1" x14ac:dyDescent="0.25">
      <c r="A5" s="2" t="s">
        <v>70</v>
      </c>
      <c r="B5" s="3" t="s">
        <v>2</v>
      </c>
      <c r="C5" s="85">
        <f t="shared" si="0"/>
        <v>23</v>
      </c>
      <c r="D5" s="3">
        <v>23</v>
      </c>
      <c r="E5" s="74"/>
      <c r="F5" s="5">
        <v>1916.48</v>
      </c>
      <c r="G5" s="36">
        <v>1916.48</v>
      </c>
      <c r="H5" s="5">
        <f t="shared" si="1"/>
        <v>83.325217391304349</v>
      </c>
      <c r="I5" s="24"/>
      <c r="J5" s="24"/>
      <c r="K5" s="24"/>
      <c r="L5" s="24"/>
      <c r="M5" s="24"/>
      <c r="N5" s="5"/>
      <c r="O5" s="31"/>
      <c r="P5" s="33" t="e">
        <f>O5/#REF!</f>
        <v>#REF!</v>
      </c>
      <c r="Q5" s="24">
        <v>2.5</v>
      </c>
      <c r="R5" s="75"/>
      <c r="S5" s="23"/>
      <c r="T5" s="23"/>
      <c r="U5" s="75" t="s">
        <v>27</v>
      </c>
      <c r="V5" s="49">
        <v>40898</v>
      </c>
    </row>
    <row r="6" spans="1:22" s="7" customFormat="1" ht="48" hidden="1" customHeight="1" x14ac:dyDescent="0.25">
      <c r="A6" s="2" t="s">
        <v>71</v>
      </c>
      <c r="B6" s="3" t="s">
        <v>2</v>
      </c>
      <c r="C6" s="85">
        <f t="shared" si="0"/>
        <v>20</v>
      </c>
      <c r="D6" s="3">
        <v>20</v>
      </c>
      <c r="E6" s="74"/>
      <c r="F6" s="5">
        <v>1707.35</v>
      </c>
      <c r="G6" s="36">
        <v>1707.35</v>
      </c>
      <c r="H6" s="5">
        <f t="shared" si="1"/>
        <v>85.367499999999993</v>
      </c>
      <c r="I6" s="33">
        <v>0</v>
      </c>
      <c r="J6" s="33">
        <v>0</v>
      </c>
      <c r="K6" s="33">
        <f>2/C6</f>
        <v>0.1</v>
      </c>
      <c r="L6" s="33">
        <f>18/C6</f>
        <v>0.9</v>
      </c>
      <c r="M6" s="33">
        <v>0</v>
      </c>
      <c r="N6" s="5">
        <v>461.7</v>
      </c>
      <c r="O6" s="31" t="s">
        <v>74</v>
      </c>
      <c r="P6" s="33" t="e">
        <f>O6/#REF!</f>
        <v>#VALUE!</v>
      </c>
      <c r="Q6" s="24">
        <v>2</v>
      </c>
      <c r="R6" s="75"/>
      <c r="S6" s="23"/>
      <c r="T6" s="23"/>
      <c r="U6" s="75"/>
      <c r="V6" s="49">
        <v>40899</v>
      </c>
    </row>
    <row r="7" spans="1:22" s="7" customFormat="1" ht="39.950000000000003" hidden="1" customHeight="1" x14ac:dyDescent="0.25">
      <c r="A7" s="2" t="s">
        <v>23</v>
      </c>
      <c r="B7" s="3" t="s">
        <v>3</v>
      </c>
      <c r="C7" s="85">
        <f t="shared" si="0"/>
        <v>16</v>
      </c>
      <c r="D7" s="4"/>
      <c r="E7" s="3">
        <v>16</v>
      </c>
      <c r="F7" s="5">
        <v>1432.77</v>
      </c>
      <c r="G7" s="36">
        <v>1432.77</v>
      </c>
      <c r="H7" s="5">
        <f t="shared" si="1"/>
        <v>89.548124999999999</v>
      </c>
      <c r="I7" s="24"/>
      <c r="J7" s="24"/>
      <c r="K7" s="24"/>
      <c r="L7" s="24"/>
      <c r="M7" s="24"/>
      <c r="N7" s="4"/>
      <c r="O7" s="63"/>
      <c r="P7" s="47"/>
      <c r="Q7" s="24">
        <v>2.5</v>
      </c>
      <c r="R7" s="75"/>
      <c r="S7" s="23"/>
      <c r="T7" s="23"/>
      <c r="U7" s="75" t="s">
        <v>26</v>
      </c>
      <c r="V7" s="49">
        <v>40940</v>
      </c>
    </row>
    <row r="8" spans="1:22" s="7" customFormat="1" ht="39.950000000000003" hidden="1" customHeight="1" x14ac:dyDescent="0.25">
      <c r="A8" s="2" t="s">
        <v>22</v>
      </c>
      <c r="B8" s="3" t="s">
        <v>2</v>
      </c>
      <c r="C8" s="85">
        <f t="shared" si="0"/>
        <v>4</v>
      </c>
      <c r="D8" s="3">
        <v>4</v>
      </c>
      <c r="E8" s="74"/>
      <c r="F8" s="5">
        <v>317.76</v>
      </c>
      <c r="G8" s="36">
        <v>317.76</v>
      </c>
      <c r="H8" s="5">
        <f t="shared" si="1"/>
        <v>79.44</v>
      </c>
      <c r="I8" s="24"/>
      <c r="J8" s="24"/>
      <c r="K8" s="24"/>
      <c r="L8" s="24"/>
      <c r="M8" s="24"/>
      <c r="N8" s="5">
        <f>830+889+461</f>
        <v>2180</v>
      </c>
      <c r="O8" s="31">
        <v>850</v>
      </c>
      <c r="P8" s="33" t="e">
        <f>O8/#REF!</f>
        <v>#REF!</v>
      </c>
      <c r="Q8" s="24">
        <v>2.5</v>
      </c>
      <c r="R8" s="75"/>
      <c r="S8" s="23"/>
      <c r="T8" s="23"/>
      <c r="U8" s="75" t="s">
        <v>26</v>
      </c>
      <c r="V8" s="49">
        <v>40940</v>
      </c>
    </row>
    <row r="9" spans="1:22" s="7" customFormat="1" ht="39.950000000000003" hidden="1" customHeight="1" x14ac:dyDescent="0.25">
      <c r="A9" s="2" t="s">
        <v>32</v>
      </c>
      <c r="B9" s="3" t="s">
        <v>3</v>
      </c>
      <c r="C9" s="85">
        <f t="shared" si="0"/>
        <v>30</v>
      </c>
      <c r="D9" s="74"/>
      <c r="E9" s="51">
        <v>30</v>
      </c>
      <c r="F9" s="5">
        <v>2238.04</v>
      </c>
      <c r="G9" s="36">
        <v>2238.04</v>
      </c>
      <c r="H9" s="5">
        <f t="shared" si="1"/>
        <v>74.601333333333329</v>
      </c>
      <c r="I9" s="33"/>
      <c r="J9" s="33">
        <v>0.17</v>
      </c>
      <c r="K9" s="33">
        <v>0.37</v>
      </c>
      <c r="L9" s="33">
        <v>0.33</v>
      </c>
      <c r="M9" s="33">
        <v>0.13</v>
      </c>
      <c r="N9" s="5">
        <v>1419.56</v>
      </c>
      <c r="O9" s="31">
        <v>664</v>
      </c>
      <c r="P9" s="33" t="e">
        <f>O9/#REF!</f>
        <v>#REF!</v>
      </c>
      <c r="Q9" s="24"/>
      <c r="R9" s="75">
        <v>5</v>
      </c>
      <c r="S9" s="23"/>
      <c r="T9" s="23"/>
      <c r="U9" s="75"/>
      <c r="V9" s="49">
        <v>40945</v>
      </c>
    </row>
    <row r="10" spans="1:22" s="7" customFormat="1" ht="103.5" hidden="1" customHeight="1" x14ac:dyDescent="0.25">
      <c r="A10" s="2" t="s">
        <v>21</v>
      </c>
      <c r="B10" s="3" t="s">
        <v>3</v>
      </c>
      <c r="C10" s="85">
        <f t="shared" si="0"/>
        <v>14</v>
      </c>
      <c r="D10" s="74"/>
      <c r="E10" s="3">
        <v>14</v>
      </c>
      <c r="F10" s="5">
        <v>1050.33</v>
      </c>
      <c r="G10" s="36">
        <v>1050.33</v>
      </c>
      <c r="H10" s="5">
        <f t="shared" si="1"/>
        <v>75.023571428571429</v>
      </c>
      <c r="I10" s="24"/>
      <c r="J10" s="24"/>
      <c r="K10" s="24"/>
      <c r="L10" s="24"/>
      <c r="M10" s="24"/>
      <c r="N10" s="5">
        <v>600</v>
      </c>
      <c r="O10" s="46" t="s">
        <v>74</v>
      </c>
      <c r="P10" s="33" t="e">
        <f>O10/#REF!</f>
        <v>#VALUE!</v>
      </c>
      <c r="Q10" s="24">
        <v>2</v>
      </c>
      <c r="R10" s="75"/>
      <c r="S10" s="23"/>
      <c r="T10" s="23"/>
      <c r="U10" s="75" t="s">
        <v>26</v>
      </c>
      <c r="V10" s="49">
        <v>40970</v>
      </c>
    </row>
    <row r="11" spans="1:22" s="7" customFormat="1" ht="82.5" hidden="1" customHeight="1" x14ac:dyDescent="0.25">
      <c r="A11" s="10" t="s">
        <v>18</v>
      </c>
      <c r="B11" s="3" t="s">
        <v>3</v>
      </c>
      <c r="C11" s="85">
        <f t="shared" si="0"/>
        <v>22</v>
      </c>
      <c r="D11" s="4"/>
      <c r="E11" s="3">
        <v>22</v>
      </c>
      <c r="F11" s="5">
        <v>1688.5</v>
      </c>
      <c r="G11" s="36">
        <v>1688.5</v>
      </c>
      <c r="H11" s="5">
        <f t="shared" si="1"/>
        <v>76.75</v>
      </c>
      <c r="I11" s="33">
        <v>0</v>
      </c>
      <c r="J11" s="33">
        <f>4/C11</f>
        <v>0.18181818181818182</v>
      </c>
      <c r="K11" s="33">
        <f>8/C11</f>
        <v>0.36363636363636365</v>
      </c>
      <c r="L11" s="33">
        <f>6/C11</f>
        <v>0.27272727272727271</v>
      </c>
      <c r="M11" s="33">
        <f>4/C11</f>
        <v>0.18181818181818182</v>
      </c>
      <c r="N11" s="5">
        <f>96.15+803.85+941.6</f>
        <v>1841.6</v>
      </c>
      <c r="O11" s="46"/>
      <c r="P11" s="33" t="e">
        <f>O11/#REF!</f>
        <v>#REF!</v>
      </c>
      <c r="Q11" s="24">
        <v>1.5</v>
      </c>
      <c r="R11" s="51"/>
      <c r="S11" s="26"/>
      <c r="T11" s="26"/>
      <c r="U11" s="5" t="s">
        <v>27</v>
      </c>
      <c r="V11" s="68">
        <v>41295</v>
      </c>
    </row>
    <row r="12" spans="1:22" s="7" customFormat="1" ht="76.5" hidden="1" customHeight="1" x14ac:dyDescent="0.25">
      <c r="A12" s="10" t="s">
        <v>15</v>
      </c>
      <c r="B12" s="3" t="s">
        <v>2</v>
      </c>
      <c r="C12" s="85">
        <f t="shared" si="0"/>
        <v>84</v>
      </c>
      <c r="D12" s="3">
        <v>84</v>
      </c>
      <c r="E12" s="4"/>
      <c r="F12" s="5">
        <v>4575.46</v>
      </c>
      <c r="G12" s="36">
        <v>4575.46</v>
      </c>
      <c r="H12" s="5">
        <f t="shared" si="1"/>
        <v>54.469761904761903</v>
      </c>
      <c r="I12" s="26"/>
      <c r="J12" s="26"/>
      <c r="K12" s="26"/>
      <c r="L12" s="26"/>
      <c r="M12" s="26"/>
      <c r="N12" s="5">
        <v>2038</v>
      </c>
      <c r="O12" s="31">
        <v>0</v>
      </c>
      <c r="P12" s="33" t="e">
        <f>O12/#REF!</f>
        <v>#REF!</v>
      </c>
      <c r="Q12" s="24">
        <v>4</v>
      </c>
      <c r="R12" s="51"/>
      <c r="S12" s="26"/>
      <c r="T12" s="26"/>
      <c r="U12" s="5"/>
      <c r="V12" s="48">
        <v>41295</v>
      </c>
    </row>
    <row r="13" spans="1:22" s="7" customFormat="1" ht="84.75" hidden="1" customHeight="1" x14ac:dyDescent="0.25">
      <c r="A13" s="10" t="s">
        <v>13</v>
      </c>
      <c r="B13" s="3" t="s">
        <v>3</v>
      </c>
      <c r="C13" s="85">
        <f t="shared" si="0"/>
        <v>14</v>
      </c>
      <c r="D13" s="4"/>
      <c r="E13" s="3">
        <v>14</v>
      </c>
      <c r="F13" s="5">
        <v>1109.03</v>
      </c>
      <c r="G13" s="36">
        <v>1109.03</v>
      </c>
      <c r="H13" s="5">
        <f t="shared" si="1"/>
        <v>79.216428571428565</v>
      </c>
      <c r="I13" s="33">
        <f>3/C13</f>
        <v>0.21428571428571427</v>
      </c>
      <c r="J13" s="33">
        <f>3/C13</f>
        <v>0.21428571428571427</v>
      </c>
      <c r="K13" s="33">
        <f>6/C13</f>
        <v>0.42857142857142855</v>
      </c>
      <c r="L13" s="33">
        <f>1/C13</f>
        <v>7.1428571428571425E-2</v>
      </c>
      <c r="M13" s="33">
        <f>1/C13</f>
        <v>7.1428571428571425E-2</v>
      </c>
      <c r="N13" s="5">
        <v>1000</v>
      </c>
      <c r="O13" s="31"/>
      <c r="P13" s="33" t="e">
        <f>O13/#REF!</f>
        <v>#REF!</v>
      </c>
      <c r="Q13" s="24">
        <v>3</v>
      </c>
      <c r="R13" s="51">
        <v>1</v>
      </c>
      <c r="S13" s="26"/>
      <c r="T13" s="26"/>
      <c r="U13" s="5"/>
      <c r="V13" s="48">
        <v>41309</v>
      </c>
    </row>
    <row r="14" spans="1:22" s="7" customFormat="1" ht="144.75" hidden="1" customHeight="1" x14ac:dyDescent="0.25">
      <c r="A14" s="38" t="s">
        <v>92</v>
      </c>
      <c r="B14" s="3" t="s">
        <v>3</v>
      </c>
      <c r="C14" s="85">
        <f t="shared" si="0"/>
        <v>17</v>
      </c>
      <c r="D14" s="4"/>
      <c r="E14" s="3">
        <v>17</v>
      </c>
      <c r="F14" s="5">
        <v>1240.2</v>
      </c>
      <c r="G14" s="36">
        <v>1240.2</v>
      </c>
      <c r="H14" s="5">
        <f t="shared" si="1"/>
        <v>72.952941176470588</v>
      </c>
      <c r="I14" s="24"/>
      <c r="J14" s="24"/>
      <c r="K14" s="24"/>
      <c r="L14" s="24"/>
      <c r="M14" s="24"/>
      <c r="N14" s="5">
        <v>760</v>
      </c>
      <c r="O14" s="31">
        <f>30*10</f>
        <v>300</v>
      </c>
      <c r="P14" s="33" t="e">
        <f>O14/#REF!</f>
        <v>#REF!</v>
      </c>
      <c r="Q14" s="24">
        <v>3</v>
      </c>
      <c r="R14" s="51"/>
      <c r="S14" s="26"/>
      <c r="T14" s="26"/>
      <c r="U14" s="5" t="s">
        <v>27</v>
      </c>
      <c r="V14" s="69">
        <v>41309</v>
      </c>
    </row>
    <row r="15" spans="1:22" s="7" customFormat="1" ht="72" hidden="1" customHeight="1" x14ac:dyDescent="0.25">
      <c r="A15" s="38" t="s">
        <v>96</v>
      </c>
      <c r="B15" s="3" t="s">
        <v>3</v>
      </c>
      <c r="C15" s="85">
        <f t="shared" si="0"/>
        <v>40</v>
      </c>
      <c r="D15" s="4"/>
      <c r="E15" s="3">
        <v>40</v>
      </c>
      <c r="F15" s="5">
        <v>2591.65</v>
      </c>
      <c r="G15" s="36">
        <v>2591.65</v>
      </c>
      <c r="H15" s="5">
        <f t="shared" si="1"/>
        <v>64.791250000000005</v>
      </c>
      <c r="I15" s="33">
        <f>4/C15</f>
        <v>0.1</v>
      </c>
      <c r="J15" s="33">
        <f>12/C15</f>
        <v>0.3</v>
      </c>
      <c r="K15" s="33">
        <f>13/C15</f>
        <v>0.32500000000000001</v>
      </c>
      <c r="L15" s="33">
        <f>9/C15</f>
        <v>0.22500000000000001</v>
      </c>
      <c r="M15" s="33">
        <f>2/C15</f>
        <v>0.05</v>
      </c>
      <c r="N15" s="12">
        <v>1150</v>
      </c>
      <c r="O15" s="80"/>
      <c r="P15" s="34" t="e">
        <f>O15/#REF!</f>
        <v>#REF!</v>
      </c>
      <c r="Q15" s="25">
        <v>2.5</v>
      </c>
      <c r="R15" s="51"/>
      <c r="S15" s="26"/>
      <c r="T15" s="26"/>
      <c r="U15" s="5" t="s">
        <v>27</v>
      </c>
      <c r="V15" s="68">
        <v>41309</v>
      </c>
    </row>
    <row r="16" spans="1:22" s="7" customFormat="1" ht="99.75" hidden="1" customHeight="1" x14ac:dyDescent="0.25">
      <c r="A16" s="10" t="s">
        <v>19</v>
      </c>
      <c r="B16" s="3" t="s">
        <v>2</v>
      </c>
      <c r="C16" s="85">
        <f t="shared" si="0"/>
        <v>29</v>
      </c>
      <c r="D16" s="3">
        <v>29</v>
      </c>
      <c r="E16" s="4"/>
      <c r="F16" s="5">
        <v>2390.15</v>
      </c>
      <c r="G16" s="36">
        <v>2390.15</v>
      </c>
      <c r="H16" s="5">
        <f t="shared" si="1"/>
        <v>82.418965517241389</v>
      </c>
      <c r="I16" s="26"/>
      <c r="J16" s="26"/>
      <c r="K16" s="26"/>
      <c r="L16" s="26"/>
      <c r="M16" s="26"/>
      <c r="N16" s="5">
        <v>1046</v>
      </c>
      <c r="O16" s="31">
        <v>0</v>
      </c>
      <c r="P16" s="33" t="e">
        <f>O16/#REF!</f>
        <v>#REF!</v>
      </c>
      <c r="Q16" s="24">
        <v>4</v>
      </c>
      <c r="R16" s="51"/>
      <c r="S16" s="26"/>
      <c r="T16" s="26"/>
      <c r="U16" s="5" t="s">
        <v>26</v>
      </c>
      <c r="V16" s="68">
        <v>41309</v>
      </c>
    </row>
    <row r="17" spans="1:22" s="7" customFormat="1" ht="195" hidden="1" customHeight="1" x14ac:dyDescent="0.25">
      <c r="A17" s="10" t="s">
        <v>20</v>
      </c>
      <c r="B17" s="3" t="s">
        <v>3</v>
      </c>
      <c r="C17" s="85">
        <f t="shared" si="0"/>
        <v>13</v>
      </c>
      <c r="D17" s="4"/>
      <c r="E17" s="3">
        <v>13</v>
      </c>
      <c r="F17" s="5">
        <v>927.22</v>
      </c>
      <c r="G17" s="36">
        <v>927.22</v>
      </c>
      <c r="H17" s="5">
        <f t="shared" si="1"/>
        <v>71.324615384615385</v>
      </c>
      <c r="I17" s="26"/>
      <c r="J17" s="26"/>
      <c r="K17" s="26"/>
      <c r="L17" s="26"/>
      <c r="M17" s="26"/>
      <c r="N17" s="4"/>
      <c r="O17" s="100"/>
      <c r="P17" s="47"/>
      <c r="Q17" s="4"/>
      <c r="R17" s="51"/>
      <c r="S17" s="26"/>
      <c r="T17" s="26"/>
      <c r="U17" s="5" t="s">
        <v>26</v>
      </c>
      <c r="V17" s="68">
        <v>41309</v>
      </c>
    </row>
    <row r="18" spans="1:22" s="7" customFormat="1" ht="135" hidden="1" customHeight="1" x14ac:dyDescent="0.25">
      <c r="A18" s="38" t="s">
        <v>16</v>
      </c>
      <c r="B18" s="3" t="s">
        <v>3</v>
      </c>
      <c r="C18" s="85">
        <f t="shared" si="0"/>
        <v>65</v>
      </c>
      <c r="D18" s="4"/>
      <c r="E18" s="3">
        <v>65</v>
      </c>
      <c r="F18" s="5">
        <v>5311.74</v>
      </c>
      <c r="G18" s="36">
        <v>5317.74</v>
      </c>
      <c r="H18" s="5">
        <f t="shared" si="1"/>
        <v>81.811384615384611</v>
      </c>
      <c r="I18" s="33">
        <f>0/C18</f>
        <v>0</v>
      </c>
      <c r="J18" s="33">
        <f>19/C18</f>
        <v>0.29230769230769232</v>
      </c>
      <c r="K18" s="33">
        <f>20/C18</f>
        <v>0.30769230769230771</v>
      </c>
      <c r="L18" s="33">
        <f>23/C18</f>
        <v>0.35384615384615387</v>
      </c>
      <c r="M18" s="33">
        <f>3/C18</f>
        <v>4.6153846153846156E-2</v>
      </c>
      <c r="N18" s="5" t="s">
        <v>42</v>
      </c>
      <c r="O18" s="31">
        <v>2000</v>
      </c>
      <c r="P18" s="33" t="e">
        <f>O18/#REF!</f>
        <v>#REF!</v>
      </c>
      <c r="Q18" s="24">
        <v>2.5</v>
      </c>
      <c r="R18" s="51"/>
      <c r="S18" s="26"/>
      <c r="T18" s="26"/>
      <c r="U18" s="5"/>
      <c r="V18" s="68">
        <v>41320</v>
      </c>
    </row>
    <row r="19" spans="1:22" s="7" customFormat="1" ht="124.5" hidden="1" customHeight="1" x14ac:dyDescent="0.25">
      <c r="A19" s="10" t="s">
        <v>14</v>
      </c>
      <c r="B19" s="3" t="s">
        <v>3</v>
      </c>
      <c r="C19" s="85">
        <f t="shared" si="0"/>
        <v>7</v>
      </c>
      <c r="D19" s="4"/>
      <c r="E19" s="3">
        <v>7</v>
      </c>
      <c r="F19" s="5">
        <v>534.08000000000004</v>
      </c>
      <c r="G19" s="36">
        <v>534.08000000000004</v>
      </c>
      <c r="H19" s="5">
        <f t="shared" si="1"/>
        <v>76.297142857142859</v>
      </c>
      <c r="I19" s="33"/>
      <c r="J19" s="33">
        <v>0.28999999999999998</v>
      </c>
      <c r="K19" s="33">
        <v>0.56999999999999995</v>
      </c>
      <c r="L19" s="33">
        <v>0.14000000000000001</v>
      </c>
      <c r="M19" s="33"/>
      <c r="N19" s="5">
        <v>217.58</v>
      </c>
      <c r="O19" s="31">
        <v>238</v>
      </c>
      <c r="P19" s="33" t="e">
        <f>O19/#REF!</f>
        <v>#REF!</v>
      </c>
      <c r="Q19" s="24">
        <v>2</v>
      </c>
      <c r="R19" s="51"/>
      <c r="S19" s="26"/>
      <c r="T19" s="26"/>
      <c r="U19" s="5"/>
      <c r="V19" s="48">
        <v>41400</v>
      </c>
    </row>
    <row r="20" spans="1:22" s="7" customFormat="1" ht="112.5" hidden="1" customHeight="1" x14ac:dyDescent="0.25">
      <c r="A20" s="38" t="s">
        <v>73</v>
      </c>
      <c r="B20" s="3" t="s">
        <v>3</v>
      </c>
      <c r="C20" s="85">
        <f t="shared" si="0"/>
        <v>75</v>
      </c>
      <c r="D20" s="4"/>
      <c r="E20" s="3">
        <v>75</v>
      </c>
      <c r="F20" s="5">
        <v>6558.86</v>
      </c>
      <c r="G20" s="36">
        <v>6558.86</v>
      </c>
      <c r="H20" s="5">
        <f t="shared" si="1"/>
        <v>87.451466666666661</v>
      </c>
      <c r="I20" s="33">
        <f>5/C20</f>
        <v>6.6666666666666666E-2</v>
      </c>
      <c r="J20" s="33">
        <f>10/C20</f>
        <v>0.13333333333333333</v>
      </c>
      <c r="K20" s="33">
        <f>30/C20</f>
        <v>0.4</v>
      </c>
      <c r="L20" s="33">
        <f>25/C20</f>
        <v>0.33333333333333331</v>
      </c>
      <c r="M20" s="33">
        <f>5/C20</f>
        <v>6.6666666666666666E-2</v>
      </c>
      <c r="N20" s="5">
        <v>697.88</v>
      </c>
      <c r="O20" s="31">
        <v>0</v>
      </c>
      <c r="P20" s="33" t="e">
        <f>O20/#REF!</f>
        <v>#REF!</v>
      </c>
      <c r="Q20" s="24">
        <v>7</v>
      </c>
      <c r="R20" s="51"/>
      <c r="S20" s="26"/>
      <c r="T20" s="26"/>
      <c r="U20" s="5" t="s">
        <v>26</v>
      </c>
      <c r="V20" s="68">
        <v>41428</v>
      </c>
    </row>
    <row r="21" spans="1:22" s="7" customFormat="1" ht="111" hidden="1" customHeight="1" x14ac:dyDescent="0.25">
      <c r="A21" s="10" t="s">
        <v>59</v>
      </c>
      <c r="B21" s="3" t="s">
        <v>3</v>
      </c>
      <c r="C21" s="85">
        <f t="shared" si="0"/>
        <v>10</v>
      </c>
      <c r="D21" s="4"/>
      <c r="E21" s="3">
        <v>10</v>
      </c>
      <c r="F21" s="5">
        <v>935.58</v>
      </c>
      <c r="G21" s="36">
        <v>935.58</v>
      </c>
      <c r="H21" s="5">
        <f t="shared" si="1"/>
        <v>93.558000000000007</v>
      </c>
      <c r="I21" s="26"/>
      <c r="J21" s="26"/>
      <c r="K21" s="33">
        <f>3/C21</f>
        <v>0.3</v>
      </c>
      <c r="L21" s="33">
        <f>5/C21</f>
        <v>0.5</v>
      </c>
      <c r="M21" s="33">
        <f>2/C21</f>
        <v>0.2</v>
      </c>
      <c r="N21" s="5">
        <v>884</v>
      </c>
      <c r="O21" s="31">
        <v>91</v>
      </c>
      <c r="P21" s="33" t="e">
        <f>O21/#REF!</f>
        <v>#REF!</v>
      </c>
      <c r="Q21" s="24">
        <v>1.5</v>
      </c>
      <c r="R21" s="51"/>
      <c r="S21" s="26"/>
      <c r="T21" s="26"/>
      <c r="U21" s="5"/>
      <c r="V21" s="68">
        <v>41451</v>
      </c>
    </row>
    <row r="22" spans="1:22" s="7" customFormat="1" ht="111.75" hidden="1" customHeight="1" x14ac:dyDescent="0.25">
      <c r="A22" s="10" t="s">
        <v>17</v>
      </c>
      <c r="B22" s="3" t="s">
        <v>3</v>
      </c>
      <c r="C22" s="85">
        <f t="shared" si="0"/>
        <v>24</v>
      </c>
      <c r="D22" s="4"/>
      <c r="E22" s="3">
        <v>24</v>
      </c>
      <c r="F22" s="5">
        <v>2021.88</v>
      </c>
      <c r="G22" s="36">
        <v>2021.88</v>
      </c>
      <c r="H22" s="5">
        <f t="shared" si="1"/>
        <v>84.245000000000005</v>
      </c>
      <c r="I22" s="26"/>
      <c r="J22" s="26"/>
      <c r="K22" s="26"/>
      <c r="L22" s="26"/>
      <c r="M22" s="26"/>
      <c r="N22" s="5">
        <v>1700</v>
      </c>
      <c r="O22" s="31">
        <v>486</v>
      </c>
      <c r="P22" s="33" t="e">
        <f>O22/#REF!</f>
        <v>#REF!</v>
      </c>
      <c r="Q22" s="24">
        <v>1.5</v>
      </c>
      <c r="R22" s="51"/>
      <c r="S22" s="26"/>
      <c r="T22" s="26"/>
      <c r="U22" s="5"/>
      <c r="V22" s="68">
        <v>41572</v>
      </c>
    </row>
    <row r="23" spans="1:22" s="7" customFormat="1" ht="108.75" hidden="1" customHeight="1" x14ac:dyDescent="0.25">
      <c r="A23" s="38" t="s">
        <v>103</v>
      </c>
      <c r="B23" s="3" t="s">
        <v>3</v>
      </c>
      <c r="C23" s="85">
        <f t="shared" si="0"/>
        <v>34</v>
      </c>
      <c r="D23" s="4"/>
      <c r="E23" s="3">
        <v>34</v>
      </c>
      <c r="F23" s="5">
        <v>2592.75</v>
      </c>
      <c r="G23" s="36">
        <v>2646.83</v>
      </c>
      <c r="H23" s="5">
        <f t="shared" si="1"/>
        <v>77.847941176470584</v>
      </c>
      <c r="I23" s="26"/>
      <c r="J23" s="26"/>
      <c r="K23" s="26"/>
      <c r="L23" s="26"/>
      <c r="M23" s="26"/>
      <c r="N23" s="5">
        <v>1035</v>
      </c>
      <c r="O23" s="31" t="s">
        <v>74</v>
      </c>
      <c r="P23" s="33" t="e">
        <f>O23/#REF!</f>
        <v>#VALUE!</v>
      </c>
      <c r="Q23" s="26">
        <v>2</v>
      </c>
      <c r="R23" s="3">
        <v>4</v>
      </c>
      <c r="S23" s="21" t="s">
        <v>39</v>
      </c>
      <c r="T23" s="21" t="s">
        <v>30</v>
      </c>
      <c r="U23" s="3" t="s">
        <v>27</v>
      </c>
      <c r="V23" s="68">
        <v>41729</v>
      </c>
    </row>
    <row r="24" spans="1:22" ht="127.5" hidden="1" customHeight="1" x14ac:dyDescent="0.25">
      <c r="A24" s="10" t="s">
        <v>9</v>
      </c>
      <c r="B24" s="3" t="s">
        <v>3</v>
      </c>
      <c r="C24" s="85">
        <f t="shared" si="0"/>
        <v>18</v>
      </c>
      <c r="D24" s="4"/>
      <c r="E24" s="3">
        <v>18</v>
      </c>
      <c r="F24" s="5">
        <f>1340.98-1283.18*0</f>
        <v>1340.98</v>
      </c>
      <c r="G24" s="36">
        <v>1323.55</v>
      </c>
      <c r="H24" s="5">
        <f t="shared" si="1"/>
        <v>73.530555555555551</v>
      </c>
      <c r="I24" s="26"/>
      <c r="J24" s="26"/>
      <c r="K24" s="26"/>
      <c r="L24" s="26"/>
      <c r="M24" s="26"/>
      <c r="N24" s="5"/>
      <c r="O24" s="31">
        <v>0</v>
      </c>
      <c r="P24" s="33" t="e">
        <f>O24/#REF!</f>
        <v>#REF!</v>
      </c>
      <c r="Q24" s="24">
        <v>3.5</v>
      </c>
      <c r="R24" s="3"/>
      <c r="S24" s="21" t="s">
        <v>39</v>
      </c>
      <c r="T24" s="21" t="s">
        <v>30</v>
      </c>
      <c r="U24" s="3" t="s">
        <v>26</v>
      </c>
      <c r="V24" s="68">
        <v>41751</v>
      </c>
    </row>
    <row r="25" spans="1:22" ht="116.25" hidden="1" customHeight="1" x14ac:dyDescent="0.25">
      <c r="A25" s="38" t="s">
        <v>93</v>
      </c>
      <c r="B25" s="3" t="s">
        <v>2</v>
      </c>
      <c r="C25" s="85">
        <f t="shared" si="0"/>
        <v>44</v>
      </c>
      <c r="D25" s="3">
        <v>44</v>
      </c>
      <c r="E25" s="4"/>
      <c r="F25" s="5">
        <v>3666.81</v>
      </c>
      <c r="G25" s="36">
        <v>3657.13</v>
      </c>
      <c r="H25" s="5">
        <f t="shared" si="1"/>
        <v>83.116590909090917</v>
      </c>
      <c r="I25" s="26"/>
      <c r="J25" s="26"/>
      <c r="K25" s="26"/>
      <c r="L25" s="26"/>
      <c r="M25" s="26"/>
      <c r="N25" s="5">
        <v>1428</v>
      </c>
      <c r="O25" s="31">
        <v>0</v>
      </c>
      <c r="P25" s="33" t="e">
        <f>O25/#REF!</f>
        <v>#REF!</v>
      </c>
      <c r="Q25" s="24">
        <v>4</v>
      </c>
      <c r="R25" s="3"/>
      <c r="S25" s="21" t="s">
        <v>50</v>
      </c>
      <c r="T25" s="21" t="s">
        <v>30</v>
      </c>
      <c r="U25" s="3" t="s">
        <v>26</v>
      </c>
      <c r="V25" s="68">
        <v>41757</v>
      </c>
    </row>
    <row r="26" spans="1:22" ht="60" hidden="1" customHeight="1" x14ac:dyDescent="0.25">
      <c r="A26" s="10" t="s">
        <v>7</v>
      </c>
      <c r="B26" s="3" t="s">
        <v>2</v>
      </c>
      <c r="C26" s="85">
        <f t="shared" si="0"/>
        <v>54</v>
      </c>
      <c r="D26" s="3">
        <v>54</v>
      </c>
      <c r="E26" s="4"/>
      <c r="F26" s="5">
        <v>4668.4799999999996</v>
      </c>
      <c r="G26" s="36">
        <v>4720.9799999999996</v>
      </c>
      <c r="H26" s="5">
        <f t="shared" si="1"/>
        <v>87.425555555555547</v>
      </c>
      <c r="I26" s="26"/>
      <c r="J26" s="26"/>
      <c r="K26" s="26"/>
      <c r="L26" s="26"/>
      <c r="M26" s="26"/>
      <c r="N26" s="5"/>
      <c r="O26" s="31">
        <v>0</v>
      </c>
      <c r="P26" s="33" t="e">
        <f>O26/#REF!</f>
        <v>#REF!</v>
      </c>
      <c r="Q26" s="29" t="s">
        <v>38</v>
      </c>
      <c r="R26" s="3"/>
      <c r="S26" s="21" t="s">
        <v>50</v>
      </c>
      <c r="T26" s="21" t="s">
        <v>30</v>
      </c>
      <c r="U26" s="3" t="s">
        <v>26</v>
      </c>
      <c r="V26" s="68">
        <v>41764</v>
      </c>
    </row>
    <row r="27" spans="1:22" ht="89.25" hidden="1" customHeight="1" x14ac:dyDescent="0.25">
      <c r="A27" s="10" t="s">
        <v>76</v>
      </c>
      <c r="B27" s="3" t="s">
        <v>2</v>
      </c>
      <c r="C27" s="85">
        <f t="shared" si="0"/>
        <v>37</v>
      </c>
      <c r="D27" s="3">
        <v>37</v>
      </c>
      <c r="E27" s="4"/>
      <c r="F27" s="5">
        <v>3305.14</v>
      </c>
      <c r="G27" s="36">
        <v>3681.47</v>
      </c>
      <c r="H27" s="5">
        <f t="shared" si="1"/>
        <v>99.499189189189181</v>
      </c>
      <c r="I27" s="26"/>
      <c r="J27" s="26"/>
      <c r="K27" s="26"/>
      <c r="L27" s="26"/>
      <c r="M27" s="26"/>
      <c r="N27" s="5">
        <v>3236</v>
      </c>
      <c r="O27" s="31"/>
      <c r="P27" s="33" t="e">
        <f>O27/#REF!</f>
        <v>#REF!</v>
      </c>
      <c r="Q27" s="24">
        <v>3.5</v>
      </c>
      <c r="R27" s="9">
        <v>6</v>
      </c>
      <c r="S27" s="22" t="s">
        <v>39</v>
      </c>
      <c r="T27" s="22" t="s">
        <v>30</v>
      </c>
      <c r="U27" s="9" t="s">
        <v>26</v>
      </c>
      <c r="V27" s="68">
        <v>41801</v>
      </c>
    </row>
    <row r="28" spans="1:22" s="28" customFormat="1" ht="84.75" hidden="1" customHeight="1" x14ac:dyDescent="0.25">
      <c r="A28" s="10" t="s">
        <v>77</v>
      </c>
      <c r="B28" s="3" t="s">
        <v>3</v>
      </c>
      <c r="C28" s="85">
        <f t="shared" si="0"/>
        <v>44</v>
      </c>
      <c r="D28" s="4"/>
      <c r="E28" s="3">
        <v>44</v>
      </c>
      <c r="F28" s="5">
        <v>3272.11</v>
      </c>
      <c r="G28" s="36">
        <v>3318.11</v>
      </c>
      <c r="H28" s="5">
        <f t="shared" si="1"/>
        <v>75.411590909090918</v>
      </c>
      <c r="I28" s="26"/>
      <c r="J28" s="26"/>
      <c r="K28" s="26"/>
      <c r="L28" s="26"/>
      <c r="M28" s="26"/>
      <c r="N28" s="5"/>
      <c r="O28" s="31"/>
      <c r="P28" s="33" t="e">
        <f>O28/#REF!</f>
        <v>#REF!</v>
      </c>
      <c r="Q28" s="24">
        <v>3.5</v>
      </c>
      <c r="R28" s="9">
        <v>6</v>
      </c>
      <c r="S28" s="22" t="s">
        <v>39</v>
      </c>
      <c r="T28" s="22" t="s">
        <v>30</v>
      </c>
      <c r="U28" s="9" t="s">
        <v>26</v>
      </c>
      <c r="V28" s="68">
        <v>41801</v>
      </c>
    </row>
    <row r="29" spans="1:22" s="11" customFormat="1" ht="84.75" hidden="1" customHeight="1" x14ac:dyDescent="0.25">
      <c r="A29" s="10" t="s">
        <v>5</v>
      </c>
      <c r="B29" s="3" t="s">
        <v>3</v>
      </c>
      <c r="C29" s="85">
        <f t="shared" si="0"/>
        <v>14</v>
      </c>
      <c r="D29" s="4"/>
      <c r="E29" s="3">
        <v>14</v>
      </c>
      <c r="F29" s="5">
        <v>1044.56</v>
      </c>
      <c r="G29" s="36">
        <v>1139.6199999999999</v>
      </c>
      <c r="H29" s="5">
        <f t="shared" si="1"/>
        <v>81.401428571428568</v>
      </c>
      <c r="I29" s="26"/>
      <c r="J29" s="26"/>
      <c r="K29" s="26"/>
      <c r="L29" s="26"/>
      <c r="M29" s="26"/>
      <c r="N29" s="5"/>
      <c r="O29" s="31">
        <v>551.16</v>
      </c>
      <c r="P29" s="33" t="e">
        <f>O29/#REF!</f>
        <v>#REF!</v>
      </c>
      <c r="Q29" s="26">
        <v>1.5</v>
      </c>
      <c r="R29" s="3">
        <v>2</v>
      </c>
      <c r="S29" s="21" t="s">
        <v>39</v>
      </c>
      <c r="T29" s="21" t="s">
        <v>30</v>
      </c>
      <c r="U29" s="3" t="s">
        <v>27</v>
      </c>
      <c r="V29" s="68">
        <v>41848</v>
      </c>
    </row>
    <row r="30" spans="1:22" ht="120.75" hidden="1" customHeight="1" x14ac:dyDescent="0.25">
      <c r="A30" s="10" t="s">
        <v>31</v>
      </c>
      <c r="B30" s="3" t="s">
        <v>3</v>
      </c>
      <c r="C30" s="85">
        <f t="shared" si="0"/>
        <v>24</v>
      </c>
      <c r="D30" s="4"/>
      <c r="E30" s="3">
        <v>24</v>
      </c>
      <c r="F30" s="5">
        <v>1833.06</v>
      </c>
      <c r="G30" s="36">
        <v>1841.94</v>
      </c>
      <c r="H30" s="5">
        <f t="shared" si="1"/>
        <v>76.747500000000002</v>
      </c>
      <c r="I30" s="26"/>
      <c r="J30" s="26"/>
      <c r="K30" s="26"/>
      <c r="L30" s="26"/>
      <c r="M30" s="26"/>
      <c r="N30" s="5"/>
      <c r="O30" s="31"/>
      <c r="P30" s="33" t="e">
        <f>O30/#REF!</f>
        <v>#REF!</v>
      </c>
      <c r="Q30" s="24">
        <v>1.5</v>
      </c>
      <c r="R30" s="9">
        <v>5</v>
      </c>
      <c r="S30" s="22" t="s">
        <v>39</v>
      </c>
      <c r="T30" s="22" t="s">
        <v>30</v>
      </c>
      <c r="U30" s="9" t="s">
        <v>27</v>
      </c>
      <c r="V30" s="68">
        <v>41876</v>
      </c>
    </row>
    <row r="31" spans="1:22" ht="216" hidden="1" customHeight="1" x14ac:dyDescent="0.25">
      <c r="A31" s="10" t="s">
        <v>91</v>
      </c>
      <c r="B31" s="3" t="s">
        <v>3</v>
      </c>
      <c r="C31" s="85">
        <f t="shared" si="0"/>
        <v>9</v>
      </c>
      <c r="D31" s="4"/>
      <c r="E31" s="3">
        <v>9</v>
      </c>
      <c r="F31" s="5">
        <v>709.36</v>
      </c>
      <c r="G31" s="36">
        <v>709.36</v>
      </c>
      <c r="H31" s="5">
        <f t="shared" si="1"/>
        <v>78.817777777777778</v>
      </c>
      <c r="I31" s="33">
        <v>0</v>
      </c>
      <c r="J31" s="33">
        <v>0</v>
      </c>
      <c r="K31" s="33">
        <f>4/C31</f>
        <v>0.44444444444444442</v>
      </c>
      <c r="L31" s="33">
        <f>4/C31</f>
        <v>0.44444444444444442</v>
      </c>
      <c r="M31" s="33">
        <f>1/C31</f>
        <v>0.1111111111111111</v>
      </c>
      <c r="N31" s="5"/>
      <c r="O31" s="31" t="s">
        <v>74</v>
      </c>
      <c r="P31" s="33" t="e">
        <f>O31/#REF!</f>
        <v>#VALUE!</v>
      </c>
      <c r="Q31" s="24">
        <v>2</v>
      </c>
      <c r="R31" s="3">
        <v>1</v>
      </c>
      <c r="S31" s="21" t="s">
        <v>39</v>
      </c>
      <c r="T31" s="21" t="s">
        <v>30</v>
      </c>
      <c r="U31" s="3"/>
      <c r="V31" s="68">
        <v>41900</v>
      </c>
    </row>
    <row r="32" spans="1:22" ht="111" hidden="1" customHeight="1" x14ac:dyDescent="0.25">
      <c r="A32" s="38" t="s">
        <v>58</v>
      </c>
      <c r="B32" s="9" t="s">
        <v>3</v>
      </c>
      <c r="C32" s="84">
        <f>(D32+E32)</f>
        <v>47</v>
      </c>
      <c r="D32" s="20"/>
      <c r="E32" s="9">
        <v>47</v>
      </c>
      <c r="F32" s="12">
        <v>4397.1499999999996</v>
      </c>
      <c r="G32" s="37">
        <v>3814.75</v>
      </c>
      <c r="H32" s="5">
        <f t="shared" si="1"/>
        <v>81.164893617021278</v>
      </c>
      <c r="I32" s="27"/>
      <c r="J32" s="27"/>
      <c r="K32" s="27"/>
      <c r="L32" s="27"/>
      <c r="M32" s="27"/>
      <c r="N32" s="12"/>
      <c r="O32" s="32">
        <v>0</v>
      </c>
      <c r="P32" s="34" t="e">
        <f>O32/#REF!</f>
        <v>#REF!</v>
      </c>
      <c r="Q32" s="25">
        <v>4.5</v>
      </c>
      <c r="R32" s="9"/>
      <c r="S32" s="22" t="s">
        <v>39</v>
      </c>
      <c r="T32" s="22" t="s">
        <v>30</v>
      </c>
      <c r="U32" s="9" t="s">
        <v>26</v>
      </c>
      <c r="V32" s="68">
        <v>42037</v>
      </c>
    </row>
    <row r="33" spans="1:31" ht="75" hidden="1" customHeight="1" x14ac:dyDescent="0.25">
      <c r="A33" s="10" t="s">
        <v>78</v>
      </c>
      <c r="B33" s="3" t="s">
        <v>3</v>
      </c>
      <c r="C33" s="85">
        <f>D33+E33</f>
        <v>83</v>
      </c>
      <c r="D33" s="4"/>
      <c r="E33" s="3">
        <v>83</v>
      </c>
      <c r="F33" s="5">
        <v>7367.96</v>
      </c>
      <c r="G33" s="36">
        <v>7367.66</v>
      </c>
      <c r="H33" s="5">
        <f t="shared" si="1"/>
        <v>88.766987951807224</v>
      </c>
      <c r="I33" s="33">
        <v>0</v>
      </c>
      <c r="J33" s="33">
        <f>10/E33</f>
        <v>0.12048192771084337</v>
      </c>
      <c r="K33" s="33">
        <f>42/E33</f>
        <v>0.50602409638554213</v>
      </c>
      <c r="L33" s="33">
        <f>28/E33</f>
        <v>0.33734939759036142</v>
      </c>
      <c r="M33" s="33">
        <f>3/E33</f>
        <v>3.614457831325301E-2</v>
      </c>
      <c r="N33" s="5"/>
      <c r="O33" s="31"/>
      <c r="P33" s="33" t="e">
        <f>O33/#REF!</f>
        <v>#REF!</v>
      </c>
      <c r="Q33" s="24">
        <v>3.5</v>
      </c>
      <c r="R33" s="3">
        <v>4</v>
      </c>
      <c r="S33" s="21" t="s">
        <v>39</v>
      </c>
      <c r="T33" s="21" t="s">
        <v>30</v>
      </c>
      <c r="U33" s="3" t="s">
        <v>26</v>
      </c>
      <c r="V33" s="68">
        <v>42139</v>
      </c>
    </row>
    <row r="34" spans="1:31" ht="66.75" hidden="1" customHeight="1" x14ac:dyDescent="0.25">
      <c r="A34" s="10" t="s">
        <v>79</v>
      </c>
      <c r="B34" s="3" t="s">
        <v>2</v>
      </c>
      <c r="C34" s="85">
        <f>D34+E34</f>
        <v>27</v>
      </c>
      <c r="D34" s="3">
        <v>27</v>
      </c>
      <c r="E34" s="4"/>
      <c r="F34" s="5">
        <v>2870.27</v>
      </c>
      <c r="G34" s="36">
        <v>2814.94</v>
      </c>
      <c r="H34" s="5">
        <f t="shared" si="1"/>
        <v>104.25703703703704</v>
      </c>
      <c r="I34" s="33">
        <v>0</v>
      </c>
      <c r="J34" s="33">
        <v>0</v>
      </c>
      <c r="K34" s="33">
        <v>0</v>
      </c>
      <c r="L34" s="33">
        <f>19/D34</f>
        <v>0.70370370370370372</v>
      </c>
      <c r="M34" s="33">
        <f>8/D34</f>
        <v>0.29629629629629628</v>
      </c>
      <c r="N34" s="5">
        <v>12480</v>
      </c>
      <c r="O34" s="31"/>
      <c r="P34" s="33" t="e">
        <f>O34/#REF!</f>
        <v>#REF!</v>
      </c>
      <c r="Q34" s="24">
        <v>3.5</v>
      </c>
      <c r="R34" s="3"/>
      <c r="S34" s="21" t="s">
        <v>39</v>
      </c>
      <c r="T34" s="21" t="s">
        <v>30</v>
      </c>
      <c r="U34" s="3" t="s">
        <v>26</v>
      </c>
      <c r="V34" s="68">
        <v>42139</v>
      </c>
    </row>
    <row r="35" spans="1:31" ht="108.75" hidden="1" customHeight="1" x14ac:dyDescent="0.25">
      <c r="A35" s="10" t="s">
        <v>11</v>
      </c>
      <c r="B35" s="3" t="s">
        <v>3</v>
      </c>
      <c r="C35" s="85">
        <f>D35+E35</f>
        <v>15</v>
      </c>
      <c r="D35" s="4"/>
      <c r="E35" s="3">
        <v>15</v>
      </c>
      <c r="F35" s="5">
        <v>1160.5899999999999</v>
      </c>
      <c r="G35" s="36">
        <v>1174.1099999999999</v>
      </c>
      <c r="H35" s="5">
        <f t="shared" si="1"/>
        <v>78.273999999999987</v>
      </c>
      <c r="I35" s="26"/>
      <c r="J35" s="26"/>
      <c r="K35" s="26"/>
      <c r="L35" s="26"/>
      <c r="M35" s="26"/>
      <c r="N35" s="5"/>
      <c r="O35" s="31"/>
      <c r="P35" s="33" t="e">
        <f>O35/#REF!</f>
        <v>#REF!</v>
      </c>
      <c r="Q35" s="24">
        <v>1.5</v>
      </c>
      <c r="R35" s="3"/>
      <c r="S35" s="21"/>
      <c r="T35" s="21" t="s">
        <v>30</v>
      </c>
      <c r="U35" s="3"/>
      <c r="V35" s="68">
        <v>42341</v>
      </c>
    </row>
    <row r="36" spans="1:31" ht="131.25" hidden="1" customHeight="1" x14ac:dyDescent="0.25">
      <c r="A36" s="40" t="s">
        <v>49</v>
      </c>
      <c r="B36" s="3" t="s">
        <v>3</v>
      </c>
      <c r="C36" s="85">
        <f>D36+E36</f>
        <v>50</v>
      </c>
      <c r="D36" s="4"/>
      <c r="E36" s="3">
        <v>50</v>
      </c>
      <c r="F36" s="5">
        <v>4457.7700000000004</v>
      </c>
      <c r="G36" s="36">
        <v>4457.88</v>
      </c>
      <c r="H36" s="5">
        <f t="shared" si="1"/>
        <v>89.157600000000002</v>
      </c>
      <c r="I36" s="26"/>
      <c r="J36" s="26"/>
      <c r="K36" s="26"/>
      <c r="L36" s="26"/>
      <c r="M36" s="26"/>
      <c r="N36" s="5"/>
      <c r="O36" s="31">
        <v>0</v>
      </c>
      <c r="P36" s="33" t="e">
        <f>O36/#REF!</f>
        <v>#REF!</v>
      </c>
      <c r="Q36" s="24">
        <v>4</v>
      </c>
      <c r="R36" s="3">
        <v>1</v>
      </c>
      <c r="S36" s="21" t="s">
        <v>39</v>
      </c>
      <c r="T36" s="21" t="s">
        <v>30</v>
      </c>
      <c r="U36" s="3" t="s">
        <v>26</v>
      </c>
      <c r="V36" s="68">
        <v>42348</v>
      </c>
    </row>
    <row r="37" spans="1:31" ht="138" hidden="1" customHeight="1" x14ac:dyDescent="0.25">
      <c r="A37" s="38" t="s">
        <v>60</v>
      </c>
      <c r="B37" s="3" t="s">
        <v>3</v>
      </c>
      <c r="C37" s="85">
        <f>(D37+E37)</f>
        <v>16</v>
      </c>
      <c r="D37" s="4"/>
      <c r="E37" s="3">
        <v>16</v>
      </c>
      <c r="F37" s="12">
        <v>1374.99</v>
      </c>
      <c r="G37" s="37">
        <v>1411.22</v>
      </c>
      <c r="H37" s="5">
        <f t="shared" si="1"/>
        <v>88.201250000000002</v>
      </c>
      <c r="I37" s="34">
        <f>2/C37</f>
        <v>0.125</v>
      </c>
      <c r="J37" s="34">
        <f>2/C37</f>
        <v>0.125</v>
      </c>
      <c r="K37" s="34">
        <f>6/C37</f>
        <v>0.375</v>
      </c>
      <c r="L37" s="34">
        <f>5/C37</f>
        <v>0.3125</v>
      </c>
      <c r="M37" s="34">
        <f>1/C37</f>
        <v>6.25E-2</v>
      </c>
      <c r="N37" s="12"/>
      <c r="O37" s="32">
        <v>0</v>
      </c>
      <c r="P37" s="34" t="e">
        <f>O37/#REF!</f>
        <v>#REF!</v>
      </c>
      <c r="Q37" s="25">
        <v>2.5</v>
      </c>
      <c r="R37" s="9">
        <v>1</v>
      </c>
      <c r="S37" s="22" t="s">
        <v>39</v>
      </c>
      <c r="T37" s="22" t="s">
        <v>30</v>
      </c>
      <c r="U37" s="9"/>
      <c r="V37" s="68">
        <v>42488</v>
      </c>
    </row>
    <row r="38" spans="1:31" ht="101.85" hidden="1" customHeight="1" x14ac:dyDescent="0.25">
      <c r="A38" s="38" t="s">
        <v>63</v>
      </c>
      <c r="B38" s="9" t="s">
        <v>2</v>
      </c>
      <c r="C38" s="84">
        <f>(D38+E38)</f>
        <v>9</v>
      </c>
      <c r="D38" s="9">
        <v>9</v>
      </c>
      <c r="E38" s="20"/>
      <c r="F38" s="12">
        <v>858.51</v>
      </c>
      <c r="G38" s="37">
        <v>827.37</v>
      </c>
      <c r="H38" s="5">
        <f t="shared" si="1"/>
        <v>91.93</v>
      </c>
      <c r="I38" s="27">
        <v>0</v>
      </c>
      <c r="J38" s="27">
        <v>0</v>
      </c>
      <c r="K38" s="27">
        <v>0</v>
      </c>
      <c r="L38" s="34">
        <f>8/C38</f>
        <v>0.88888888888888884</v>
      </c>
      <c r="M38" s="34">
        <f>1/C38</f>
        <v>0.1111111111111111</v>
      </c>
      <c r="N38" s="12"/>
      <c r="O38" s="32">
        <v>0</v>
      </c>
      <c r="P38" s="34" t="e">
        <f>O38/#REF!</f>
        <v>#REF!</v>
      </c>
      <c r="Q38" s="25">
        <v>2</v>
      </c>
      <c r="R38" s="9"/>
      <c r="S38" s="22" t="s">
        <v>39</v>
      </c>
      <c r="T38" s="22" t="s">
        <v>30</v>
      </c>
      <c r="U38" s="9" t="s">
        <v>27</v>
      </c>
      <c r="V38" s="68">
        <v>42500</v>
      </c>
    </row>
    <row r="39" spans="1:31" ht="57.75" hidden="1" customHeight="1" x14ac:dyDescent="0.25">
      <c r="A39" s="73" t="s">
        <v>144</v>
      </c>
      <c r="B39" s="3" t="s">
        <v>3</v>
      </c>
      <c r="C39" s="85">
        <f>(D39+E39)</f>
        <v>23</v>
      </c>
      <c r="D39" s="4"/>
      <c r="E39" s="3">
        <v>23</v>
      </c>
      <c r="F39" s="5">
        <v>1565.14</v>
      </c>
      <c r="G39" s="67">
        <v>1536.105</v>
      </c>
      <c r="H39" s="5">
        <f t="shared" si="1"/>
        <v>66.787173913043475</v>
      </c>
      <c r="I39" s="33"/>
      <c r="J39" s="33">
        <v>0.23</v>
      </c>
      <c r="K39" s="33"/>
      <c r="L39" s="33"/>
      <c r="M39" s="33"/>
      <c r="N39" s="5"/>
      <c r="O39" s="31"/>
      <c r="P39" s="33"/>
      <c r="Q39" s="24">
        <v>4</v>
      </c>
      <c r="R39" s="3"/>
      <c r="S39" s="21" t="s">
        <v>39</v>
      </c>
      <c r="T39" s="21"/>
      <c r="U39" s="3"/>
      <c r="V39" s="69">
        <v>42583</v>
      </c>
    </row>
    <row r="40" spans="1:31" ht="58.7" customHeight="1" x14ac:dyDescent="0.25">
      <c r="A40" s="38" t="s">
        <v>64</v>
      </c>
      <c r="B40" s="9" t="s">
        <v>3</v>
      </c>
      <c r="C40" s="85">
        <f>(D40+E40)</f>
        <v>55</v>
      </c>
      <c r="D40" s="4"/>
      <c r="E40" s="3">
        <f>55*1</f>
        <v>55</v>
      </c>
      <c r="F40" s="5">
        <v>3218.48</v>
      </c>
      <c r="G40" s="37">
        <v>3234.3</v>
      </c>
      <c r="H40" s="5">
        <f t="shared" si="1"/>
        <v>58.805454545454552</v>
      </c>
      <c r="I40" s="26"/>
      <c r="J40" s="33">
        <v>1</v>
      </c>
      <c r="K40" s="26"/>
      <c r="L40" s="26"/>
      <c r="M40" s="26"/>
      <c r="N40" s="5"/>
      <c r="O40" s="31">
        <v>0</v>
      </c>
      <c r="P40" s="33" t="e">
        <f>O40/#REF!</f>
        <v>#REF!</v>
      </c>
      <c r="Q40" s="24">
        <v>3</v>
      </c>
      <c r="R40" s="3"/>
      <c r="S40" s="21"/>
      <c r="T40" s="21"/>
      <c r="U40" s="3"/>
      <c r="V40" s="69">
        <v>42767</v>
      </c>
      <c r="AC40" s="6">
        <f ca="1">[1]!SommeSiCouleur(E1:E51,16)</f>
        <v>0</v>
      </c>
    </row>
    <row r="41" spans="1:31" ht="70.7" customHeight="1" x14ac:dyDescent="0.25">
      <c r="A41" s="38" t="s">
        <v>72</v>
      </c>
      <c r="B41" s="3" t="s">
        <v>3</v>
      </c>
      <c r="C41" s="85">
        <f>(D41+E41)</f>
        <v>30</v>
      </c>
      <c r="D41" s="4"/>
      <c r="E41" s="3">
        <v>30</v>
      </c>
      <c r="F41" s="5">
        <v>2546.5500000000002</v>
      </c>
      <c r="G41" s="36">
        <v>2583.1999999999998</v>
      </c>
      <c r="H41" s="5">
        <f t="shared" si="1"/>
        <v>86.106666666666655</v>
      </c>
      <c r="I41" s="33">
        <f>2/C41</f>
        <v>6.6666666666666666E-2</v>
      </c>
      <c r="J41" s="33">
        <f>12/C41</f>
        <v>0.4</v>
      </c>
      <c r="K41" s="33">
        <f>12/C41</f>
        <v>0.4</v>
      </c>
      <c r="L41" s="33">
        <f>3/C41</f>
        <v>0.1</v>
      </c>
      <c r="M41" s="33">
        <f>1/C41</f>
        <v>3.3333333333333333E-2</v>
      </c>
      <c r="N41" s="5"/>
      <c r="O41" s="31">
        <v>0</v>
      </c>
      <c r="P41" s="33" t="e">
        <f>O41/#REF!</f>
        <v>#REF!</v>
      </c>
      <c r="Q41" s="24">
        <v>4</v>
      </c>
      <c r="R41" s="3"/>
      <c r="S41" s="21" t="s">
        <v>50</v>
      </c>
      <c r="T41" s="21" t="s">
        <v>30</v>
      </c>
      <c r="U41" s="3"/>
      <c r="V41" s="68">
        <v>42772</v>
      </c>
      <c r="AB41" s="6" t="e">
        <f ca="1">codecouleur(AE41)</f>
        <v>#NAME?</v>
      </c>
      <c r="AE41" s="112">
        <v>5</v>
      </c>
    </row>
    <row r="42" spans="1:31" ht="75" customHeight="1" x14ac:dyDescent="0.25">
      <c r="A42" s="2" t="s">
        <v>95</v>
      </c>
      <c r="B42" s="9" t="s">
        <v>3</v>
      </c>
      <c r="C42" s="85">
        <f>E42</f>
        <v>18</v>
      </c>
      <c r="D42" s="4"/>
      <c r="E42" s="3">
        <v>18</v>
      </c>
      <c r="F42" s="5">
        <v>1709.55</v>
      </c>
      <c r="G42" s="37">
        <v>1711.67</v>
      </c>
      <c r="H42" s="5">
        <f t="shared" si="1"/>
        <v>95.092777777777783</v>
      </c>
      <c r="I42" s="33">
        <v>0</v>
      </c>
      <c r="J42" s="33">
        <v>0</v>
      </c>
      <c r="K42" s="33">
        <f>10/C42</f>
        <v>0.55555555555555558</v>
      </c>
      <c r="L42" s="33">
        <f>4/C42</f>
        <v>0.22222222222222221</v>
      </c>
      <c r="M42" s="33">
        <f>4/C42</f>
        <v>0.22222222222222221</v>
      </c>
      <c r="N42" s="5"/>
      <c r="O42" s="31">
        <v>0</v>
      </c>
      <c r="P42" s="33">
        <v>0</v>
      </c>
      <c r="Q42" s="24">
        <v>3</v>
      </c>
      <c r="R42" s="3"/>
      <c r="S42" s="21" t="s">
        <v>39</v>
      </c>
      <c r="T42" s="21" t="s">
        <v>26</v>
      </c>
      <c r="U42" s="3" t="s">
        <v>26</v>
      </c>
      <c r="V42" s="69">
        <v>42772</v>
      </c>
    </row>
    <row r="43" spans="1:31" ht="80.25" customHeight="1" x14ac:dyDescent="0.25">
      <c r="A43" s="2" t="s">
        <v>56</v>
      </c>
      <c r="B43" s="9" t="s">
        <v>3</v>
      </c>
      <c r="C43" s="85">
        <f>(D43+E43)</f>
        <v>20</v>
      </c>
      <c r="D43" s="4"/>
      <c r="E43" s="3">
        <v>20</v>
      </c>
      <c r="F43" s="5">
        <v>1304.1600000000001</v>
      </c>
      <c r="G43" s="37">
        <v>1303.24</v>
      </c>
      <c r="H43" s="5">
        <f t="shared" si="1"/>
        <v>65.162000000000006</v>
      </c>
      <c r="I43" s="33">
        <v>0.2</v>
      </c>
      <c r="J43" s="33">
        <v>0.4</v>
      </c>
      <c r="K43" s="33">
        <v>0.2</v>
      </c>
      <c r="L43" s="33">
        <v>0.2</v>
      </c>
      <c r="M43" s="33">
        <v>0</v>
      </c>
      <c r="N43" s="5"/>
      <c r="O43" s="31">
        <v>0</v>
      </c>
      <c r="P43" s="33" t="e">
        <f>O43/#REF!</f>
        <v>#REF!</v>
      </c>
      <c r="Q43" s="24">
        <v>4</v>
      </c>
      <c r="R43" s="3"/>
      <c r="S43" s="21" t="s">
        <v>39</v>
      </c>
      <c r="T43" s="21" t="s">
        <v>26</v>
      </c>
      <c r="U43" s="3" t="s">
        <v>27</v>
      </c>
      <c r="V43" s="69">
        <v>42786</v>
      </c>
    </row>
    <row r="44" spans="1:31" s="16" customFormat="1" ht="62.25" customHeight="1" x14ac:dyDescent="0.25">
      <c r="A44" s="38" t="s">
        <v>61</v>
      </c>
      <c r="B44" s="9" t="s">
        <v>2</v>
      </c>
      <c r="C44" s="84">
        <f>(D44+E44)</f>
        <v>30</v>
      </c>
      <c r="D44" s="9">
        <v>30</v>
      </c>
      <c r="E44" s="9"/>
      <c r="F44" s="12">
        <v>2596.9</v>
      </c>
      <c r="G44" s="37">
        <v>2678.3</v>
      </c>
      <c r="H44" s="5">
        <f t="shared" si="1"/>
        <v>89.276666666666671</v>
      </c>
      <c r="I44" s="27">
        <v>0</v>
      </c>
      <c r="J44" s="27">
        <v>0</v>
      </c>
      <c r="K44" s="34">
        <f>16/C44</f>
        <v>0.53333333333333333</v>
      </c>
      <c r="L44" s="34">
        <f>12/C44</f>
        <v>0.4</v>
      </c>
      <c r="M44" s="34">
        <f>2/C44</f>
        <v>6.6666666666666666E-2</v>
      </c>
      <c r="N44" s="12"/>
      <c r="O44" s="32">
        <v>0</v>
      </c>
      <c r="P44" s="34" t="e">
        <f>O44/#REF!</f>
        <v>#REF!</v>
      </c>
      <c r="Q44" s="25">
        <v>3</v>
      </c>
      <c r="R44" s="9">
        <v>1</v>
      </c>
      <c r="S44" s="22" t="s">
        <v>39</v>
      </c>
      <c r="T44" s="22" t="s">
        <v>30</v>
      </c>
      <c r="U44" s="9" t="s">
        <v>26</v>
      </c>
      <c r="V44" s="69">
        <v>42780</v>
      </c>
    </row>
    <row r="45" spans="1:31" ht="149.25" customHeight="1" x14ac:dyDescent="0.25">
      <c r="A45" s="2" t="s">
        <v>88</v>
      </c>
      <c r="B45" s="9" t="s">
        <v>2</v>
      </c>
      <c r="C45" s="85">
        <v>46</v>
      </c>
      <c r="D45" s="3">
        <v>46</v>
      </c>
      <c r="E45" s="4"/>
      <c r="F45" s="5">
        <v>4286.38</v>
      </c>
      <c r="G45" s="37">
        <v>4032.32</v>
      </c>
      <c r="H45" s="5"/>
      <c r="I45" s="33"/>
      <c r="J45" s="33"/>
      <c r="K45" s="33">
        <f>36/D45</f>
        <v>0.78260869565217395</v>
      </c>
      <c r="L45" s="33">
        <f>10/C45</f>
        <v>0.21739130434782608</v>
      </c>
      <c r="M45" s="33"/>
      <c r="N45" s="5"/>
      <c r="O45" s="31"/>
      <c r="P45" s="33"/>
      <c r="Q45" s="26">
        <v>2</v>
      </c>
      <c r="R45" s="3"/>
      <c r="S45" s="21" t="s">
        <v>39</v>
      </c>
      <c r="T45" s="21"/>
      <c r="U45" s="3"/>
      <c r="V45" s="69">
        <v>42782</v>
      </c>
    </row>
    <row r="46" spans="1:31" s="17" customFormat="1" ht="112.5" customHeight="1" x14ac:dyDescent="0.25">
      <c r="A46" s="2" t="s">
        <v>88</v>
      </c>
      <c r="B46" s="9" t="s">
        <v>3</v>
      </c>
      <c r="C46" s="85">
        <f>(D46+E46)</f>
        <v>12</v>
      </c>
      <c r="D46" s="4"/>
      <c r="E46" s="3">
        <v>12</v>
      </c>
      <c r="F46" s="5">
        <v>1301.51</v>
      </c>
      <c r="G46" s="37">
        <v>677.46</v>
      </c>
      <c r="H46" s="5">
        <f t="shared" ref="H46:H51" si="2">G46/C46</f>
        <v>56.455000000000005</v>
      </c>
      <c r="I46" s="33"/>
      <c r="J46" s="33">
        <f>12/C46</f>
        <v>1</v>
      </c>
      <c r="K46" s="33"/>
      <c r="L46" s="33"/>
      <c r="M46" s="33"/>
      <c r="N46" s="5"/>
      <c r="O46" s="31"/>
      <c r="P46" s="33"/>
      <c r="Q46" s="24">
        <v>2</v>
      </c>
      <c r="R46" s="3"/>
      <c r="S46" s="21" t="s">
        <v>39</v>
      </c>
      <c r="T46" s="21"/>
      <c r="U46" s="3"/>
      <c r="V46" s="69">
        <v>42782</v>
      </c>
    </row>
    <row r="47" spans="1:31" s="17" customFormat="1" ht="105.75" customHeight="1" x14ac:dyDescent="0.25">
      <c r="A47" s="2" t="s">
        <v>94</v>
      </c>
      <c r="B47" s="22" t="s">
        <v>2</v>
      </c>
      <c r="C47" s="85">
        <f>(D47+E47)</f>
        <v>20</v>
      </c>
      <c r="D47" s="21">
        <v>20</v>
      </c>
      <c r="E47" s="30"/>
      <c r="F47" s="24">
        <v>1853.17</v>
      </c>
      <c r="G47" s="78">
        <v>1943.7</v>
      </c>
      <c r="H47" s="24">
        <f t="shared" si="2"/>
        <v>97.185000000000002</v>
      </c>
      <c r="I47" s="33"/>
      <c r="J47" s="33"/>
      <c r="K47" s="33"/>
      <c r="L47" s="33">
        <f>16/C47</f>
        <v>0.8</v>
      </c>
      <c r="M47" s="33">
        <f>4/C47</f>
        <v>0.2</v>
      </c>
      <c r="N47" s="24"/>
      <c r="O47" s="31">
        <v>0</v>
      </c>
      <c r="P47" s="33">
        <v>0</v>
      </c>
      <c r="Q47" s="24">
        <v>4</v>
      </c>
      <c r="R47" s="21"/>
      <c r="S47" s="21" t="s">
        <v>39</v>
      </c>
      <c r="T47" s="21" t="s">
        <v>26</v>
      </c>
      <c r="U47" s="21" t="s">
        <v>26</v>
      </c>
      <c r="V47" s="70">
        <v>42917</v>
      </c>
      <c r="Z47" s="109">
        <f>SYNTHESE!C10</f>
        <v>211</v>
      </c>
    </row>
    <row r="48" spans="1:31" ht="84.75" customHeight="1" x14ac:dyDescent="0.25">
      <c r="A48" s="2" t="s">
        <v>90</v>
      </c>
      <c r="B48" s="9" t="s">
        <v>3</v>
      </c>
      <c r="C48" s="85">
        <f>(D48+E48)</f>
        <v>69</v>
      </c>
      <c r="D48" s="4"/>
      <c r="E48" s="3">
        <v>69</v>
      </c>
      <c r="F48" s="5">
        <v>4692.6549999999988</v>
      </c>
      <c r="G48" s="37">
        <v>5002.0200000000004</v>
      </c>
      <c r="H48" s="5">
        <f t="shared" si="2"/>
        <v>72.493043478260873</v>
      </c>
      <c r="I48" s="33">
        <f>12/C48</f>
        <v>0.17391304347826086</v>
      </c>
      <c r="J48" s="33">
        <f>29/C48</f>
        <v>0.42028985507246375</v>
      </c>
      <c r="K48" s="33">
        <f>28/C48</f>
        <v>0.40579710144927539</v>
      </c>
      <c r="L48" s="33">
        <v>0</v>
      </c>
      <c r="M48" s="33">
        <v>0</v>
      </c>
      <c r="N48" s="5"/>
      <c r="O48" s="31">
        <v>0</v>
      </c>
      <c r="P48" s="33">
        <v>0</v>
      </c>
      <c r="Q48" s="24">
        <v>4</v>
      </c>
      <c r="R48" s="3"/>
      <c r="S48" s="21" t="s">
        <v>39</v>
      </c>
      <c r="T48" s="21" t="s">
        <v>26</v>
      </c>
      <c r="U48" s="3" t="s">
        <v>26</v>
      </c>
      <c r="V48" s="70">
        <v>42917</v>
      </c>
    </row>
    <row r="49" spans="1:22" ht="61.5" customHeight="1" x14ac:dyDescent="0.25">
      <c r="A49" s="38" t="s">
        <v>4</v>
      </c>
      <c r="B49" s="3" t="s">
        <v>3</v>
      </c>
      <c r="C49" s="85">
        <f>D49+E49</f>
        <v>21</v>
      </c>
      <c r="D49" s="4"/>
      <c r="E49" s="3">
        <f>21*1</f>
        <v>21</v>
      </c>
      <c r="F49" s="5">
        <v>1508.31</v>
      </c>
      <c r="G49" s="36">
        <f>+F49</f>
        <v>1508.31</v>
      </c>
      <c r="H49" s="5">
        <f t="shared" si="2"/>
        <v>71.824285714285708</v>
      </c>
      <c r="I49" s="26">
        <v>0</v>
      </c>
      <c r="J49" s="26">
        <v>7</v>
      </c>
      <c r="K49" s="26">
        <v>8</v>
      </c>
      <c r="L49" s="26">
        <v>5</v>
      </c>
      <c r="M49" s="26">
        <v>1</v>
      </c>
      <c r="N49" s="5"/>
      <c r="O49" s="31"/>
      <c r="P49" s="33" t="e">
        <f>O49/#REF!</f>
        <v>#REF!</v>
      </c>
      <c r="Q49" s="24">
        <v>1</v>
      </c>
      <c r="R49" s="3"/>
      <c r="S49" s="22" t="s">
        <v>39</v>
      </c>
      <c r="T49" s="22" t="s">
        <v>30</v>
      </c>
      <c r="U49" s="3" t="s">
        <v>27</v>
      </c>
      <c r="V49" s="64">
        <v>42926</v>
      </c>
    </row>
    <row r="50" spans="1:22" s="17" customFormat="1" ht="30" customHeight="1" x14ac:dyDescent="0.25">
      <c r="A50" s="2" t="s">
        <v>53</v>
      </c>
      <c r="B50" s="9" t="s">
        <v>3</v>
      </c>
      <c r="C50" s="85">
        <f>(D50+E50)</f>
        <v>18</v>
      </c>
      <c r="D50" s="4"/>
      <c r="E50" s="3">
        <v>18</v>
      </c>
      <c r="F50" s="5">
        <v>1509.87</v>
      </c>
      <c r="G50" s="37">
        <v>1463.16</v>
      </c>
      <c r="H50" s="5">
        <f t="shared" si="2"/>
        <v>81.286666666666676</v>
      </c>
      <c r="I50" s="33">
        <v>0</v>
      </c>
      <c r="J50" s="33">
        <f>6/C50</f>
        <v>0.33333333333333331</v>
      </c>
      <c r="K50" s="33">
        <f>6/C50</f>
        <v>0.33333333333333331</v>
      </c>
      <c r="L50" s="33">
        <f>6/C50</f>
        <v>0.33333333333333331</v>
      </c>
      <c r="M50" s="33">
        <v>0</v>
      </c>
      <c r="N50" s="5"/>
      <c r="O50" s="31">
        <v>0</v>
      </c>
      <c r="P50" s="33">
        <v>0</v>
      </c>
      <c r="Q50" s="26">
        <v>3</v>
      </c>
      <c r="R50" s="3"/>
      <c r="S50" s="21" t="s">
        <v>39</v>
      </c>
      <c r="T50" s="21" t="s">
        <v>26</v>
      </c>
      <c r="U50" s="3" t="s">
        <v>26</v>
      </c>
      <c r="V50" s="70">
        <v>42931</v>
      </c>
    </row>
    <row r="51" spans="1:22" s="17" customFormat="1" ht="72" customHeight="1" x14ac:dyDescent="0.25">
      <c r="A51" s="38" t="s">
        <v>57</v>
      </c>
      <c r="B51" s="9" t="s">
        <v>3</v>
      </c>
      <c r="C51" s="85">
        <f>(D51+E51)</f>
        <v>19</v>
      </c>
      <c r="D51" s="20"/>
      <c r="E51" s="9">
        <v>19</v>
      </c>
      <c r="F51" s="12">
        <v>1222.18</v>
      </c>
      <c r="G51" s="37">
        <v>1200.06</v>
      </c>
      <c r="H51" s="5">
        <f t="shared" si="2"/>
        <v>63.161052631578947</v>
      </c>
      <c r="I51" s="27">
        <v>0</v>
      </c>
      <c r="J51" s="34">
        <f>13/C51</f>
        <v>0.68421052631578949</v>
      </c>
      <c r="K51" s="34">
        <f>5/C51</f>
        <v>0.26315789473684209</v>
      </c>
      <c r="L51" s="34">
        <f>2/C51</f>
        <v>0.10526315789473684</v>
      </c>
      <c r="M51" s="34">
        <v>0</v>
      </c>
      <c r="N51" s="12"/>
      <c r="O51" s="32" t="s">
        <v>74</v>
      </c>
      <c r="P51" s="34"/>
      <c r="Q51" s="27">
        <v>2</v>
      </c>
      <c r="R51" s="9"/>
      <c r="S51" s="22" t="s">
        <v>39</v>
      </c>
      <c r="T51" s="22"/>
      <c r="U51" s="9"/>
      <c r="V51" s="70">
        <v>42931</v>
      </c>
    </row>
    <row r="52" spans="1:22" ht="67.5" customHeight="1" x14ac:dyDescent="0.25">
      <c r="A52" s="2" t="s">
        <v>87</v>
      </c>
      <c r="B52" s="3" t="s">
        <v>3</v>
      </c>
      <c r="C52" s="85">
        <f>D52+E52</f>
        <v>22</v>
      </c>
      <c r="D52" s="4"/>
      <c r="E52" s="3">
        <v>22</v>
      </c>
      <c r="F52" s="5"/>
      <c r="G52" s="67">
        <v>1688.87</v>
      </c>
      <c r="H52" s="5">
        <v>1746</v>
      </c>
      <c r="I52" s="33"/>
      <c r="J52" s="33">
        <f>10/C52</f>
        <v>0.45454545454545453</v>
      </c>
      <c r="K52" s="33">
        <f>6/C52</f>
        <v>0.27272727272727271</v>
      </c>
      <c r="L52" s="33">
        <f>5/C52</f>
        <v>0.22727272727272727</v>
      </c>
      <c r="M52" s="33">
        <f>1/C52</f>
        <v>4.5454545454545456E-2</v>
      </c>
      <c r="N52" s="5"/>
      <c r="O52" s="31">
        <v>0</v>
      </c>
      <c r="P52" s="33">
        <v>0</v>
      </c>
      <c r="Q52" s="24">
        <v>7</v>
      </c>
      <c r="R52" s="3">
        <v>2</v>
      </c>
      <c r="S52" s="21"/>
      <c r="T52" s="21"/>
      <c r="U52" s="3" t="s">
        <v>26</v>
      </c>
      <c r="V52" s="70">
        <v>43040</v>
      </c>
    </row>
    <row r="53" spans="1:22" s="17" customFormat="1" ht="92.25" customHeight="1" x14ac:dyDescent="0.25">
      <c r="A53" s="2" t="s">
        <v>66</v>
      </c>
      <c r="B53" s="3" t="s">
        <v>3</v>
      </c>
      <c r="C53" s="85">
        <f>(D53+E53)</f>
        <v>18</v>
      </c>
      <c r="D53" s="4"/>
      <c r="E53" s="3">
        <v>18</v>
      </c>
      <c r="F53" s="5">
        <v>1427.7</v>
      </c>
      <c r="G53" s="67">
        <v>1353.58</v>
      </c>
      <c r="H53" s="5">
        <f t="shared" ref="H53:H60" si="3">G53/C53</f>
        <v>75.198888888888888</v>
      </c>
      <c r="I53" s="33">
        <f>2/C53</f>
        <v>0.1111111111111111</v>
      </c>
      <c r="J53" s="33">
        <f>6/C53</f>
        <v>0.33333333333333331</v>
      </c>
      <c r="K53" s="33">
        <f>7/C53</f>
        <v>0.3888888888888889</v>
      </c>
      <c r="L53" s="33">
        <f>3/C53</f>
        <v>0.16666666666666666</v>
      </c>
      <c r="M53" s="33"/>
      <c r="N53" s="5"/>
      <c r="O53" s="31"/>
      <c r="P53" s="33"/>
      <c r="Q53" s="24"/>
      <c r="R53" s="3"/>
      <c r="S53" s="21"/>
      <c r="T53" s="21"/>
      <c r="U53" s="3"/>
      <c r="V53" s="70">
        <v>43040</v>
      </c>
    </row>
    <row r="54" spans="1:22" ht="114" customHeight="1" x14ac:dyDescent="0.25">
      <c r="A54" s="71" t="s">
        <v>65</v>
      </c>
      <c r="B54" s="21" t="s">
        <v>3</v>
      </c>
      <c r="C54" s="85">
        <f>(D54+E54)</f>
        <v>35</v>
      </c>
      <c r="D54" s="30"/>
      <c r="E54" s="21">
        <v>35</v>
      </c>
      <c r="F54" s="24">
        <v>2214</v>
      </c>
      <c r="G54" s="67">
        <v>2307.98</v>
      </c>
      <c r="H54" s="5">
        <f t="shared" si="3"/>
        <v>65.942285714285717</v>
      </c>
      <c r="I54" s="33">
        <f>8/C54</f>
        <v>0.22857142857142856</v>
      </c>
      <c r="J54" s="33">
        <f>8/C54</f>
        <v>0.22857142857142856</v>
      </c>
      <c r="K54" s="33">
        <f>8/C54</f>
        <v>0.22857142857142856</v>
      </c>
      <c r="L54" s="33">
        <f>11/C54</f>
        <v>0.31428571428571428</v>
      </c>
      <c r="M54" s="33"/>
      <c r="N54" s="24"/>
      <c r="O54" s="31"/>
      <c r="P54" s="33"/>
      <c r="Q54" s="24"/>
      <c r="R54" s="21"/>
      <c r="S54" s="21"/>
      <c r="T54" s="21"/>
      <c r="U54" s="21"/>
      <c r="V54" s="70">
        <v>43040</v>
      </c>
    </row>
    <row r="55" spans="1:22" ht="88.5" customHeight="1" x14ac:dyDescent="0.25">
      <c r="A55" s="71" t="s">
        <v>82</v>
      </c>
      <c r="B55" s="21" t="s">
        <v>3</v>
      </c>
      <c r="C55" s="85">
        <f>D55+E55</f>
        <v>28</v>
      </c>
      <c r="D55" s="30"/>
      <c r="E55" s="21">
        <v>28</v>
      </c>
      <c r="F55" s="24">
        <v>1812.35</v>
      </c>
      <c r="G55" s="67">
        <v>1885.87</v>
      </c>
      <c r="H55" s="5">
        <f t="shared" si="3"/>
        <v>67.352499999999992</v>
      </c>
      <c r="I55" s="33">
        <f>4/C55</f>
        <v>0.14285714285714285</v>
      </c>
      <c r="J55" s="33">
        <f>7/C55</f>
        <v>0.25</v>
      </c>
      <c r="K55" s="33">
        <f>10/C55</f>
        <v>0.35714285714285715</v>
      </c>
      <c r="L55" s="33">
        <f>7/C55</f>
        <v>0.25</v>
      </c>
      <c r="M55" s="33"/>
      <c r="N55" s="24"/>
      <c r="O55" s="31"/>
      <c r="P55" s="33"/>
      <c r="Q55" s="24">
        <v>2.5</v>
      </c>
      <c r="R55" s="21"/>
      <c r="S55" s="21"/>
      <c r="T55" s="21"/>
      <c r="U55" s="21"/>
      <c r="V55" s="70">
        <v>43040</v>
      </c>
    </row>
    <row r="56" spans="1:22" ht="30" customHeight="1" x14ac:dyDescent="0.25">
      <c r="A56" s="71" t="s">
        <v>8</v>
      </c>
      <c r="B56" s="21" t="s">
        <v>2</v>
      </c>
      <c r="C56" s="65">
        <f>D56+E56</f>
        <v>30</v>
      </c>
      <c r="D56" s="21">
        <v>30</v>
      </c>
      <c r="E56" s="30"/>
      <c r="F56" s="24">
        <v>2526.1</v>
      </c>
      <c r="G56" s="67">
        <v>2552.54</v>
      </c>
      <c r="H56" s="5">
        <f t="shared" si="3"/>
        <v>85.084666666666664</v>
      </c>
      <c r="I56" s="33">
        <f>4/C56</f>
        <v>0.13333333333333333</v>
      </c>
      <c r="J56" s="33">
        <f>7/C56</f>
        <v>0.23333333333333334</v>
      </c>
      <c r="K56" s="33">
        <f>9/C56</f>
        <v>0.3</v>
      </c>
      <c r="L56" s="33">
        <f>8/C56</f>
        <v>0.26666666666666666</v>
      </c>
      <c r="M56" s="33">
        <f>2/C56</f>
        <v>6.6666666666666666E-2</v>
      </c>
      <c r="N56" s="24"/>
      <c r="O56" s="31">
        <v>0</v>
      </c>
      <c r="P56" s="33" t="e">
        <f>O56/#REF!</f>
        <v>#REF!</v>
      </c>
      <c r="Q56" s="24">
        <v>4.5</v>
      </c>
      <c r="R56" s="21">
        <v>1</v>
      </c>
      <c r="S56" s="21" t="s">
        <v>39</v>
      </c>
      <c r="T56" s="21" t="s">
        <v>30</v>
      </c>
      <c r="U56" s="21" t="s">
        <v>26</v>
      </c>
      <c r="V56" s="70">
        <v>43040</v>
      </c>
    </row>
    <row r="57" spans="1:22" ht="62.25" customHeight="1" x14ac:dyDescent="0.25">
      <c r="A57" s="41" t="s">
        <v>75</v>
      </c>
      <c r="B57" s="21" t="s">
        <v>3</v>
      </c>
      <c r="C57" s="85">
        <f>(D57+E57)</f>
        <v>40</v>
      </c>
      <c r="D57" s="30"/>
      <c r="E57" s="21">
        <v>40</v>
      </c>
      <c r="F57" s="24">
        <v>2383.79</v>
      </c>
      <c r="G57" s="67">
        <v>2383.3200000000002</v>
      </c>
      <c r="H57" s="5">
        <f t="shared" si="3"/>
        <v>59.583000000000006</v>
      </c>
      <c r="I57" s="33"/>
      <c r="J57" s="33">
        <f>37/C57</f>
        <v>0.92500000000000004</v>
      </c>
      <c r="K57" s="33">
        <f>2/C57</f>
        <v>0.05</v>
      </c>
      <c r="L57" s="33">
        <f>1/C57</f>
        <v>2.5000000000000001E-2</v>
      </c>
      <c r="M57" s="33"/>
      <c r="N57" s="24"/>
      <c r="O57" s="31"/>
      <c r="P57" s="33"/>
      <c r="Q57" s="24">
        <v>3</v>
      </c>
      <c r="R57" s="21"/>
      <c r="S57" s="21"/>
      <c r="T57" s="21"/>
      <c r="U57" s="21"/>
      <c r="V57" s="70">
        <v>43054</v>
      </c>
    </row>
    <row r="58" spans="1:22" ht="39.950000000000003" hidden="1" customHeight="1" x14ac:dyDescent="0.25">
      <c r="A58" s="43" t="s">
        <v>52</v>
      </c>
      <c r="B58" s="22" t="s">
        <v>3</v>
      </c>
      <c r="C58" s="84">
        <f>(D58+E58)</f>
        <v>19</v>
      </c>
      <c r="D58" s="76"/>
      <c r="E58" s="22">
        <v>19</v>
      </c>
      <c r="F58" s="25">
        <v>1680.48</v>
      </c>
      <c r="G58" s="67">
        <v>1659.85</v>
      </c>
      <c r="H58" s="5">
        <f t="shared" si="3"/>
        <v>87.360526315789471</v>
      </c>
      <c r="I58" s="27"/>
      <c r="J58" s="27"/>
      <c r="K58" s="34">
        <f>3/C58</f>
        <v>0.15789473684210525</v>
      </c>
      <c r="L58" s="34">
        <f>12/E58</f>
        <v>0.63157894736842102</v>
      </c>
      <c r="M58" s="34">
        <f>4/E58</f>
        <v>0.21052631578947367</v>
      </c>
      <c r="N58" s="25"/>
      <c r="O58" s="32"/>
      <c r="P58" s="34" t="e">
        <f>O58/#REF!</f>
        <v>#REF!</v>
      </c>
      <c r="Q58" s="25">
        <v>1.5</v>
      </c>
      <c r="R58" s="22"/>
      <c r="S58" s="22" t="s">
        <v>39</v>
      </c>
      <c r="T58" s="22" t="s">
        <v>30</v>
      </c>
      <c r="U58" s="22"/>
      <c r="V58" s="70">
        <v>43115</v>
      </c>
    </row>
    <row r="59" spans="1:22" ht="64.5" hidden="1" customHeight="1" x14ac:dyDescent="0.25">
      <c r="A59" s="41" t="s">
        <v>54</v>
      </c>
      <c r="B59" s="21" t="s">
        <v>3</v>
      </c>
      <c r="C59" s="85">
        <f>(D59+E59)</f>
        <v>40</v>
      </c>
      <c r="D59" s="30"/>
      <c r="E59" s="21">
        <v>40</v>
      </c>
      <c r="F59" s="24">
        <v>3286.05</v>
      </c>
      <c r="G59" s="67">
        <f>F59</f>
        <v>3286.05</v>
      </c>
      <c r="H59" s="5">
        <f t="shared" si="3"/>
        <v>82.151250000000005</v>
      </c>
      <c r="I59" s="33">
        <v>0</v>
      </c>
      <c r="J59" s="33">
        <f>6/E59</f>
        <v>0.15</v>
      </c>
      <c r="K59" s="33">
        <f>16/E59</f>
        <v>0.4</v>
      </c>
      <c r="L59" s="33">
        <f>16/E59</f>
        <v>0.4</v>
      </c>
      <c r="M59" s="33">
        <f>2/E59</f>
        <v>0.05</v>
      </c>
      <c r="N59" s="24"/>
      <c r="O59" s="31"/>
      <c r="P59" s="33"/>
      <c r="Q59" s="24">
        <v>2</v>
      </c>
      <c r="R59" s="21"/>
      <c r="S59" s="21"/>
      <c r="T59" s="21"/>
      <c r="U59" s="21"/>
      <c r="V59" s="70">
        <v>43115</v>
      </c>
    </row>
    <row r="60" spans="1:22" ht="56.25" hidden="1" customHeight="1" x14ac:dyDescent="0.25">
      <c r="A60" s="43" t="s">
        <v>35</v>
      </c>
      <c r="B60" s="22" t="s">
        <v>3</v>
      </c>
      <c r="C60" s="84">
        <f>(D60+E60)</f>
        <v>19</v>
      </c>
      <c r="D60" s="76"/>
      <c r="E60" s="22">
        <v>19</v>
      </c>
      <c r="F60" s="24">
        <v>1584.58</v>
      </c>
      <c r="G60" s="67">
        <v>1632.28</v>
      </c>
      <c r="H60" s="24">
        <f t="shared" si="3"/>
        <v>85.909473684210525</v>
      </c>
      <c r="I60" s="26"/>
      <c r="J60" s="33">
        <f>8/C60</f>
        <v>0.42105263157894735</v>
      </c>
      <c r="K60" s="33">
        <f>7/C60</f>
        <v>0.36842105263157893</v>
      </c>
      <c r="L60" s="33">
        <f>4/C60</f>
        <v>0.21052631578947367</v>
      </c>
      <c r="M60" s="26"/>
      <c r="N60" s="24"/>
      <c r="O60" s="31">
        <v>0</v>
      </c>
      <c r="P60" s="33" t="e">
        <f>O60/#REF!</f>
        <v>#REF!</v>
      </c>
      <c r="Q60" s="24">
        <v>3</v>
      </c>
      <c r="R60" s="21">
        <v>1</v>
      </c>
      <c r="S60" s="21" t="s">
        <v>39</v>
      </c>
      <c r="T60" s="21" t="s">
        <v>30</v>
      </c>
      <c r="U60" s="21" t="s">
        <v>26</v>
      </c>
      <c r="V60" s="70">
        <v>43115</v>
      </c>
    </row>
    <row r="61" spans="1:22" ht="53.25" hidden="1" customHeight="1" x14ac:dyDescent="0.25">
      <c r="A61" s="41" t="s">
        <v>106</v>
      </c>
      <c r="B61" s="21" t="s">
        <v>3</v>
      </c>
      <c r="C61" s="85">
        <f>(D61+E61)</f>
        <v>30</v>
      </c>
      <c r="D61" s="30"/>
      <c r="E61" s="21">
        <v>30</v>
      </c>
      <c r="F61" s="24">
        <v>1708.31</v>
      </c>
      <c r="G61" s="67"/>
      <c r="H61" s="24"/>
      <c r="I61" s="33"/>
      <c r="J61" s="33"/>
      <c r="K61" s="33"/>
      <c r="L61" s="33"/>
      <c r="M61" s="33"/>
      <c r="N61" s="24"/>
      <c r="O61" s="31"/>
      <c r="P61" s="33"/>
      <c r="Q61" s="24"/>
      <c r="R61" s="21"/>
      <c r="S61" s="21"/>
      <c r="T61" s="21"/>
      <c r="U61" s="21"/>
      <c r="V61" s="70">
        <v>43115</v>
      </c>
    </row>
    <row r="62" spans="1:22" ht="44.1" hidden="1" customHeight="1" x14ac:dyDescent="0.25">
      <c r="A62" s="43" t="s">
        <v>145</v>
      </c>
      <c r="B62" s="22" t="s">
        <v>3</v>
      </c>
      <c r="C62" s="85">
        <f>D62+E62</f>
        <v>37</v>
      </c>
      <c r="D62" s="30"/>
      <c r="E62" s="21">
        <v>37</v>
      </c>
      <c r="F62" s="25">
        <v>3196.53</v>
      </c>
      <c r="G62" s="37"/>
      <c r="H62" s="24"/>
      <c r="I62" s="27"/>
      <c r="J62" s="27"/>
      <c r="K62" s="27"/>
      <c r="L62" s="27"/>
      <c r="M62" s="27"/>
      <c r="N62" s="25"/>
      <c r="O62" s="32"/>
      <c r="P62" s="34"/>
      <c r="Q62" s="25"/>
      <c r="R62" s="22"/>
      <c r="S62" s="22"/>
      <c r="T62" s="22"/>
      <c r="U62" s="22"/>
      <c r="V62" s="70">
        <v>43115</v>
      </c>
    </row>
    <row r="63" spans="1:22" ht="60.75" hidden="1" customHeight="1" x14ac:dyDescent="0.25">
      <c r="A63" s="41" t="s">
        <v>132</v>
      </c>
      <c r="B63" s="21" t="s">
        <v>2</v>
      </c>
      <c r="C63" s="85">
        <f t="shared" ref="C63:C68" si="4">(D63+E63)</f>
        <v>29</v>
      </c>
      <c r="D63" s="21">
        <v>29</v>
      </c>
      <c r="E63" s="30"/>
      <c r="F63" s="24">
        <v>2702.1</v>
      </c>
      <c r="G63" s="67"/>
      <c r="H63" s="24"/>
      <c r="I63" s="33"/>
      <c r="J63" s="33"/>
      <c r="K63" s="33"/>
      <c r="L63" s="33"/>
      <c r="M63" s="33"/>
      <c r="N63" s="24"/>
      <c r="O63" s="31"/>
      <c r="P63" s="33"/>
      <c r="Q63" s="24"/>
      <c r="R63" s="21"/>
      <c r="S63" s="21"/>
      <c r="T63" s="21"/>
      <c r="U63" s="21"/>
      <c r="V63" s="70">
        <v>43282</v>
      </c>
    </row>
    <row r="64" spans="1:22" ht="60.75" hidden="1" customHeight="1" x14ac:dyDescent="0.25">
      <c r="A64" s="41" t="s">
        <v>99</v>
      </c>
      <c r="B64" s="21" t="s">
        <v>3</v>
      </c>
      <c r="C64" s="85">
        <f t="shared" si="4"/>
        <v>24</v>
      </c>
      <c r="D64" s="30"/>
      <c r="E64" s="21">
        <v>24</v>
      </c>
      <c r="F64" s="24">
        <v>1779.08</v>
      </c>
      <c r="G64" s="42"/>
      <c r="H64" s="5"/>
      <c r="I64" s="33">
        <f>3/E64</f>
        <v>0.125</v>
      </c>
      <c r="J64" s="33">
        <f>9/E64</f>
        <v>0.375</v>
      </c>
      <c r="K64" s="33">
        <f>6/E64</f>
        <v>0.25</v>
      </c>
      <c r="L64" s="33">
        <f>3/E64</f>
        <v>0.125</v>
      </c>
      <c r="M64" s="33">
        <f>3/E64</f>
        <v>0.125</v>
      </c>
      <c r="N64" s="24"/>
      <c r="O64" s="31"/>
      <c r="P64" s="33"/>
      <c r="Q64" s="24"/>
      <c r="R64" s="21"/>
      <c r="S64" s="21"/>
      <c r="T64" s="21"/>
      <c r="U64" s="21"/>
      <c r="V64" s="70">
        <v>43282</v>
      </c>
    </row>
    <row r="65" spans="1:22" ht="60.75" hidden="1" customHeight="1" x14ac:dyDescent="0.25">
      <c r="A65" s="41" t="s">
        <v>97</v>
      </c>
      <c r="B65" s="21" t="s">
        <v>3</v>
      </c>
      <c r="C65" s="85">
        <f t="shared" si="4"/>
        <v>26</v>
      </c>
      <c r="D65" s="30"/>
      <c r="E65" s="21">
        <v>26</v>
      </c>
      <c r="F65" s="24">
        <v>1730.4</v>
      </c>
      <c r="G65" s="42"/>
      <c r="H65" s="24">
        <f>F65/C65</f>
        <v>66.553846153846152</v>
      </c>
      <c r="I65" s="33"/>
      <c r="J65" s="33">
        <f>26/C65</f>
        <v>1</v>
      </c>
      <c r="K65" s="33"/>
      <c r="L65" s="33"/>
      <c r="M65" s="33"/>
      <c r="N65" s="24"/>
      <c r="O65" s="31"/>
      <c r="P65" s="33"/>
      <c r="Q65" s="24"/>
      <c r="R65" s="21"/>
      <c r="S65" s="21"/>
      <c r="T65" s="21"/>
      <c r="U65" s="21"/>
      <c r="V65" s="70">
        <v>43282</v>
      </c>
    </row>
    <row r="66" spans="1:22" ht="15" hidden="1" customHeight="1" x14ac:dyDescent="0.25">
      <c r="A66" s="41" t="s">
        <v>146</v>
      </c>
      <c r="B66" s="21" t="s">
        <v>3</v>
      </c>
      <c r="C66" s="85">
        <f t="shared" si="4"/>
        <v>84</v>
      </c>
      <c r="D66" s="30"/>
      <c r="E66" s="21">
        <v>84</v>
      </c>
      <c r="F66" s="24">
        <v>6502.48</v>
      </c>
      <c r="G66" s="67"/>
      <c r="H66" s="24">
        <f>G66/C66</f>
        <v>0</v>
      </c>
      <c r="I66" s="33"/>
      <c r="J66" s="33"/>
      <c r="K66" s="33"/>
      <c r="L66" s="33"/>
      <c r="M66" s="33"/>
      <c r="N66" s="24"/>
      <c r="O66" s="31"/>
      <c r="P66" s="33"/>
      <c r="Q66" s="24"/>
      <c r="R66" s="21"/>
      <c r="S66" s="21"/>
      <c r="T66" s="21"/>
      <c r="U66" s="21"/>
      <c r="V66" s="70">
        <v>43282</v>
      </c>
    </row>
    <row r="67" spans="1:22" ht="15" hidden="1" customHeight="1" x14ac:dyDescent="0.25">
      <c r="A67" s="41" t="s">
        <v>102</v>
      </c>
      <c r="B67" s="21" t="s">
        <v>3</v>
      </c>
      <c r="C67" s="65">
        <f t="shared" si="4"/>
        <v>21</v>
      </c>
      <c r="D67" s="30"/>
      <c r="E67" s="21">
        <v>21</v>
      </c>
      <c r="F67" s="24">
        <v>1580.35</v>
      </c>
      <c r="G67" s="42"/>
      <c r="H67" s="24">
        <f>G67/C67</f>
        <v>0</v>
      </c>
      <c r="I67" s="33"/>
      <c r="J67" s="33"/>
      <c r="K67" s="33"/>
      <c r="L67" s="33"/>
      <c r="M67" s="33"/>
      <c r="N67" s="24"/>
      <c r="O67" s="31"/>
      <c r="P67" s="33"/>
      <c r="Q67" s="24"/>
      <c r="R67" s="21"/>
      <c r="S67" s="21"/>
      <c r="T67" s="21"/>
      <c r="U67" s="21"/>
      <c r="V67" s="70">
        <v>43282</v>
      </c>
    </row>
    <row r="68" spans="1:22" ht="15" hidden="1" customHeight="1" x14ac:dyDescent="0.25">
      <c r="A68" s="41" t="s">
        <v>89</v>
      </c>
      <c r="B68" s="22" t="s">
        <v>3</v>
      </c>
      <c r="C68" s="85">
        <f t="shared" si="4"/>
        <v>59</v>
      </c>
      <c r="D68" s="30"/>
      <c r="E68" s="21">
        <f>59</f>
        <v>59</v>
      </c>
      <c r="F68" s="24">
        <v>3438.3249999999998</v>
      </c>
      <c r="G68" s="42"/>
      <c r="H68" s="24">
        <f>G68/C68</f>
        <v>0</v>
      </c>
      <c r="I68" s="33"/>
      <c r="J68" s="33"/>
      <c r="K68" s="33"/>
      <c r="L68" s="33"/>
      <c r="M68" s="33"/>
      <c r="N68" s="24"/>
      <c r="O68" s="31"/>
      <c r="P68" s="33"/>
      <c r="Q68" s="24"/>
      <c r="R68" s="21"/>
      <c r="S68" s="21"/>
      <c r="T68" s="21"/>
      <c r="U68" s="21"/>
      <c r="V68" s="70">
        <v>43497</v>
      </c>
    </row>
    <row r="69" spans="1:22" ht="15" hidden="1" customHeight="1" x14ac:dyDescent="0.25">
      <c r="A69" s="41" t="s">
        <v>134</v>
      </c>
      <c r="B69" s="22" t="s">
        <v>3</v>
      </c>
      <c r="C69" s="85">
        <v>0</v>
      </c>
      <c r="D69" s="30"/>
      <c r="E69" s="21">
        <f>48</f>
        <v>48</v>
      </c>
      <c r="F69" s="24">
        <v>3960</v>
      </c>
      <c r="G69" s="42"/>
      <c r="H69" s="24" t="e">
        <f>G69/C69</f>
        <v>#DIV/0!</v>
      </c>
      <c r="I69" s="33"/>
      <c r="J69" s="33"/>
      <c r="K69" s="33"/>
      <c r="L69" s="33"/>
      <c r="M69" s="33"/>
      <c r="N69" s="24"/>
      <c r="O69" s="31"/>
      <c r="P69" s="33"/>
      <c r="Q69" s="24"/>
      <c r="R69" s="21"/>
      <c r="S69" s="21"/>
      <c r="T69" s="21"/>
      <c r="U69" s="21"/>
      <c r="V69" s="70">
        <v>43497</v>
      </c>
    </row>
    <row r="70" spans="1:22" ht="15" hidden="1" customHeight="1" x14ac:dyDescent="0.25">
      <c r="A70" s="79" t="s">
        <v>101</v>
      </c>
      <c r="B70" s="21" t="s">
        <v>3</v>
      </c>
      <c r="C70" s="85">
        <f>(D70+E70)</f>
        <v>18</v>
      </c>
      <c r="D70" s="30"/>
      <c r="E70" s="21">
        <v>18</v>
      </c>
      <c r="F70" s="24"/>
      <c r="G70" s="42"/>
      <c r="H70" s="24"/>
      <c r="I70" s="33"/>
      <c r="J70" s="33"/>
      <c r="K70" s="33"/>
      <c r="L70" s="33"/>
      <c r="M70" s="33"/>
      <c r="N70" s="24"/>
      <c r="O70" s="31"/>
      <c r="P70" s="33"/>
      <c r="Q70" s="24"/>
      <c r="R70" s="21"/>
      <c r="S70" s="21"/>
      <c r="T70" s="21"/>
      <c r="U70" s="21"/>
      <c r="V70" s="70">
        <v>43497</v>
      </c>
    </row>
    <row r="71" spans="1:22" ht="63" hidden="1" customHeight="1" x14ac:dyDescent="0.25">
      <c r="A71" s="79" t="s">
        <v>55</v>
      </c>
      <c r="B71" s="21" t="s">
        <v>2</v>
      </c>
      <c r="C71" s="85">
        <f>(D71+E71)</f>
        <v>50</v>
      </c>
      <c r="D71" s="30"/>
      <c r="E71" s="21">
        <v>50</v>
      </c>
      <c r="F71" s="24">
        <v>3216</v>
      </c>
      <c r="G71" s="42">
        <f>F71</f>
        <v>3216</v>
      </c>
      <c r="H71" s="24">
        <f t="shared" ref="H71:H76" si="5">G71/C71</f>
        <v>64.319999999999993</v>
      </c>
      <c r="I71" s="33"/>
      <c r="J71" s="33"/>
      <c r="K71" s="33"/>
      <c r="L71" s="33"/>
      <c r="M71" s="33"/>
      <c r="N71" s="24"/>
      <c r="O71" s="31"/>
      <c r="P71" s="33"/>
      <c r="Q71" s="24"/>
      <c r="R71" s="21"/>
      <c r="S71" s="21"/>
      <c r="T71" s="21"/>
      <c r="U71" s="21"/>
      <c r="V71" s="70">
        <v>43497</v>
      </c>
    </row>
    <row r="72" spans="1:22" ht="15" hidden="1" customHeight="1" x14ac:dyDescent="0.25">
      <c r="A72" s="79" t="s">
        <v>85</v>
      </c>
      <c r="B72" s="22" t="s">
        <v>3</v>
      </c>
      <c r="C72" s="85">
        <f>D72+E72</f>
        <v>49</v>
      </c>
      <c r="D72" s="30"/>
      <c r="E72" s="21">
        <f>49</f>
        <v>49</v>
      </c>
      <c r="F72" s="24"/>
      <c r="G72" s="42"/>
      <c r="H72" s="24">
        <f t="shared" si="5"/>
        <v>0</v>
      </c>
      <c r="I72" s="33"/>
      <c r="J72" s="33"/>
      <c r="K72" s="33"/>
      <c r="L72" s="33"/>
      <c r="M72" s="33"/>
      <c r="N72" s="24"/>
      <c r="O72" s="31"/>
      <c r="P72" s="33"/>
      <c r="Q72" s="24"/>
      <c r="R72" s="21"/>
      <c r="S72" s="21"/>
      <c r="T72" s="21"/>
      <c r="U72" s="21"/>
      <c r="V72" s="70">
        <v>43497</v>
      </c>
    </row>
    <row r="73" spans="1:22" ht="63" hidden="1" customHeight="1" x14ac:dyDescent="0.25">
      <c r="A73" s="79" t="s">
        <v>86</v>
      </c>
      <c r="B73" s="22" t="s">
        <v>3</v>
      </c>
      <c r="C73" s="85">
        <f>D73+E73</f>
        <v>47</v>
      </c>
      <c r="D73" s="30"/>
      <c r="E73" s="21">
        <f>47</f>
        <v>47</v>
      </c>
      <c r="F73" s="24">
        <v>3357.36</v>
      </c>
      <c r="G73" s="42"/>
      <c r="H73" s="24">
        <f t="shared" si="5"/>
        <v>0</v>
      </c>
      <c r="I73" s="33"/>
      <c r="J73" s="33"/>
      <c r="K73" s="33"/>
      <c r="L73" s="33"/>
      <c r="M73" s="33"/>
      <c r="N73" s="24"/>
      <c r="O73" s="31"/>
      <c r="P73" s="33"/>
      <c r="Q73" s="24"/>
      <c r="R73" s="21"/>
      <c r="S73" s="21"/>
      <c r="T73" s="21"/>
      <c r="U73" s="21"/>
      <c r="V73" s="70">
        <v>43497</v>
      </c>
    </row>
    <row r="74" spans="1:22" ht="63" hidden="1" customHeight="1" x14ac:dyDescent="0.25">
      <c r="A74" s="79" t="s">
        <v>83</v>
      </c>
      <c r="B74" s="22" t="s">
        <v>3</v>
      </c>
      <c r="C74" s="85">
        <f>(D74+E74)</f>
        <v>0</v>
      </c>
      <c r="D74" s="30"/>
      <c r="E74" s="21">
        <f>50*0</f>
        <v>0</v>
      </c>
      <c r="F74" s="24">
        <v>2905</v>
      </c>
      <c r="G74" s="42">
        <f>F74</f>
        <v>2905</v>
      </c>
      <c r="H74" s="24" t="e">
        <f t="shared" si="5"/>
        <v>#DIV/0!</v>
      </c>
      <c r="I74" s="33"/>
      <c r="J74" s="33"/>
      <c r="K74" s="33"/>
      <c r="L74" s="33"/>
      <c r="M74" s="33"/>
      <c r="N74" s="24"/>
      <c r="O74" s="31"/>
      <c r="P74" s="33"/>
      <c r="Q74" s="24"/>
      <c r="R74" s="21"/>
      <c r="S74" s="21"/>
      <c r="T74" s="21"/>
      <c r="U74" s="21"/>
      <c r="V74" s="70">
        <v>43497</v>
      </c>
    </row>
    <row r="75" spans="1:22" ht="63" hidden="1" customHeight="1" x14ac:dyDescent="0.25">
      <c r="A75" s="41" t="s">
        <v>84</v>
      </c>
      <c r="B75" s="22" t="s">
        <v>3</v>
      </c>
      <c r="C75" s="65">
        <f>(D75+E75)</f>
        <v>0</v>
      </c>
      <c r="D75" s="30"/>
      <c r="E75" s="21">
        <f>85*0</f>
        <v>0</v>
      </c>
      <c r="F75" s="24">
        <v>6176.04</v>
      </c>
      <c r="G75" s="42">
        <f>F75</f>
        <v>6176.04</v>
      </c>
      <c r="H75" s="24" t="e">
        <f t="shared" si="5"/>
        <v>#DIV/0!</v>
      </c>
      <c r="I75" s="33"/>
      <c r="J75" s="33"/>
      <c r="K75" s="33"/>
      <c r="L75" s="33"/>
      <c r="M75" s="33"/>
      <c r="N75" s="24"/>
      <c r="O75" s="31"/>
      <c r="P75" s="33"/>
      <c r="Q75" s="24"/>
      <c r="R75" s="21"/>
      <c r="S75" s="21"/>
      <c r="T75" s="21"/>
      <c r="U75" s="21"/>
      <c r="V75" s="70">
        <v>43497</v>
      </c>
    </row>
    <row r="76" spans="1:22" ht="63" hidden="1" customHeight="1" x14ac:dyDescent="0.25">
      <c r="A76" s="79" t="s">
        <v>51</v>
      </c>
      <c r="B76" s="22" t="s">
        <v>3</v>
      </c>
      <c r="C76" s="65">
        <f>(D76+E76)</f>
        <v>78</v>
      </c>
      <c r="D76" s="30"/>
      <c r="E76" s="21">
        <v>78</v>
      </c>
      <c r="F76" s="24">
        <v>6582.5</v>
      </c>
      <c r="G76" s="42">
        <v>6582.5</v>
      </c>
      <c r="H76" s="24">
        <f t="shared" si="5"/>
        <v>84.391025641025635</v>
      </c>
      <c r="I76" s="33">
        <v>0.15</v>
      </c>
      <c r="J76" s="33">
        <v>0.3</v>
      </c>
      <c r="K76" s="33">
        <v>0.3</v>
      </c>
      <c r="L76" s="33">
        <v>0.2</v>
      </c>
      <c r="M76" s="33">
        <v>0.06</v>
      </c>
      <c r="N76" s="24"/>
      <c r="O76" s="31">
        <v>0</v>
      </c>
      <c r="P76" s="33">
        <v>0</v>
      </c>
      <c r="Q76" s="24"/>
      <c r="R76" s="21">
        <v>5</v>
      </c>
      <c r="S76" s="21" t="s">
        <v>39</v>
      </c>
      <c r="T76" s="21"/>
      <c r="U76" s="21" t="s">
        <v>26</v>
      </c>
      <c r="V76" s="70">
        <v>43497</v>
      </c>
    </row>
    <row r="77" spans="1:22" ht="63" hidden="1" customHeight="1" x14ac:dyDescent="0.25">
      <c r="A77" s="41" t="s">
        <v>139</v>
      </c>
      <c r="B77" s="22" t="s">
        <v>3</v>
      </c>
      <c r="C77" s="85">
        <f>D77+E77</f>
        <v>37</v>
      </c>
      <c r="D77" s="30"/>
      <c r="E77" s="21">
        <v>37</v>
      </c>
      <c r="F77" s="25"/>
      <c r="G77" s="78"/>
      <c r="H77" s="24"/>
      <c r="I77" s="27"/>
      <c r="J77" s="27"/>
      <c r="K77" s="27"/>
      <c r="L77" s="27"/>
      <c r="M77" s="27"/>
      <c r="N77" s="25"/>
      <c r="O77" s="32"/>
      <c r="P77" s="34"/>
      <c r="Q77" s="25"/>
      <c r="R77" s="22"/>
      <c r="S77" s="22"/>
      <c r="T77" s="22"/>
      <c r="U77" s="22"/>
      <c r="V77" s="70">
        <v>43595</v>
      </c>
    </row>
    <row r="78" spans="1:22" ht="63" hidden="1" customHeight="1" x14ac:dyDescent="0.25">
      <c r="A78" s="41" t="s">
        <v>104</v>
      </c>
      <c r="B78" s="21" t="s">
        <v>2</v>
      </c>
      <c r="C78" s="65">
        <f>(D78+E78)</f>
        <v>22</v>
      </c>
      <c r="D78" s="21">
        <v>22</v>
      </c>
      <c r="E78" s="30"/>
      <c r="F78" s="24">
        <v>2028.9499999999998</v>
      </c>
      <c r="G78" s="42"/>
      <c r="H78" s="24">
        <f>G78/C78</f>
        <v>0</v>
      </c>
      <c r="I78" s="33"/>
      <c r="J78" s="33"/>
      <c r="K78" s="33"/>
      <c r="L78" s="33"/>
      <c r="M78" s="33"/>
      <c r="N78" s="24"/>
      <c r="O78" s="31"/>
      <c r="P78" s="33"/>
      <c r="Q78" s="24"/>
      <c r="R78" s="21"/>
      <c r="S78" s="21"/>
      <c r="T78" s="21"/>
      <c r="U78" s="21"/>
      <c r="V78" s="70">
        <v>43647</v>
      </c>
    </row>
    <row r="79" spans="1:22" ht="63" hidden="1" customHeight="1" x14ac:dyDescent="0.25">
      <c r="A79" s="41" t="s">
        <v>105</v>
      </c>
      <c r="B79" s="21" t="s">
        <v>3</v>
      </c>
      <c r="C79" s="65">
        <f>(D79+E79)</f>
        <v>34</v>
      </c>
      <c r="D79" s="30"/>
      <c r="E79" s="21">
        <v>34</v>
      </c>
      <c r="F79" s="24">
        <v>2028.9499999999998</v>
      </c>
      <c r="G79" s="42"/>
      <c r="H79" s="24">
        <f>G79/C79</f>
        <v>0</v>
      </c>
      <c r="I79" s="33"/>
      <c r="J79" s="33"/>
      <c r="K79" s="33"/>
      <c r="L79" s="33"/>
      <c r="M79" s="33"/>
      <c r="N79" s="24"/>
      <c r="O79" s="31"/>
      <c r="P79" s="33"/>
      <c r="Q79" s="24"/>
      <c r="R79" s="21"/>
      <c r="S79" s="21"/>
      <c r="T79" s="21"/>
      <c r="U79" s="21"/>
      <c r="V79" s="70">
        <v>43647</v>
      </c>
    </row>
    <row r="80" spans="1:22" ht="63" hidden="1" customHeight="1" x14ac:dyDescent="0.25">
      <c r="A80" s="41" t="s">
        <v>62</v>
      </c>
      <c r="B80" s="21" t="s">
        <v>3</v>
      </c>
      <c r="C80" s="65">
        <f>(D80+E80)</f>
        <v>48</v>
      </c>
      <c r="D80" s="30"/>
      <c r="E80" s="21">
        <v>48</v>
      </c>
      <c r="F80" s="24">
        <v>3995.18</v>
      </c>
      <c r="G80" s="42">
        <f>F80</f>
        <v>3995.18</v>
      </c>
      <c r="H80" s="24">
        <f>G80/C80</f>
        <v>83.232916666666668</v>
      </c>
      <c r="I80" s="33">
        <v>0</v>
      </c>
      <c r="J80" s="33">
        <f>7/E80</f>
        <v>0.14583333333333334</v>
      </c>
      <c r="K80" s="33">
        <f>17/E80</f>
        <v>0.35416666666666669</v>
      </c>
      <c r="L80" s="33">
        <f>14/E80</f>
        <v>0.29166666666666669</v>
      </c>
      <c r="M80" s="33">
        <f>4/E80</f>
        <v>8.3333333333333329E-2</v>
      </c>
      <c r="N80" s="24"/>
      <c r="O80" s="31"/>
      <c r="P80" s="33"/>
      <c r="Q80" s="24">
        <v>2.5</v>
      </c>
      <c r="R80" s="21"/>
      <c r="S80" s="21"/>
      <c r="T80" s="21"/>
      <c r="U80" s="21"/>
      <c r="V80" s="70">
        <v>43845</v>
      </c>
    </row>
    <row r="81" spans="1:22" ht="63" hidden="1" customHeight="1" x14ac:dyDescent="0.25">
      <c r="A81" s="71" t="s">
        <v>6</v>
      </c>
      <c r="B81" s="22" t="s">
        <v>3</v>
      </c>
      <c r="C81" s="50">
        <f>D81+E81</f>
        <v>14</v>
      </c>
      <c r="D81" s="30"/>
      <c r="E81" s="22">
        <v>14</v>
      </c>
      <c r="F81" s="25">
        <v>807.53</v>
      </c>
      <c r="G81" s="42">
        <v>748.81</v>
      </c>
      <c r="H81" s="24">
        <f>G81/C81</f>
        <v>53.486428571428569</v>
      </c>
      <c r="I81" s="33">
        <f>8/C81</f>
        <v>0.5714285714285714</v>
      </c>
      <c r="J81" s="26"/>
      <c r="K81" s="33">
        <f>6/C81</f>
        <v>0.42857142857142855</v>
      </c>
      <c r="L81" s="26"/>
      <c r="M81" s="26"/>
      <c r="N81" s="24">
        <v>3037</v>
      </c>
      <c r="O81" s="31"/>
      <c r="P81" s="33" t="e">
        <f>O81/#REF!</f>
        <v>#REF!</v>
      </c>
      <c r="Q81" s="24">
        <v>1.5</v>
      </c>
      <c r="R81" s="22"/>
      <c r="S81" s="22"/>
      <c r="T81" s="22"/>
      <c r="U81" s="22" t="s">
        <v>27</v>
      </c>
      <c r="V81" s="70"/>
    </row>
    <row r="82" spans="1:22" ht="63" hidden="1" customHeight="1" x14ac:dyDescent="0.25">
      <c r="A82" s="41" t="s">
        <v>110</v>
      </c>
      <c r="B82" s="21" t="s">
        <v>2</v>
      </c>
      <c r="C82" s="65">
        <f>(D82+E82)</f>
        <v>55</v>
      </c>
      <c r="D82" s="21">
        <v>55</v>
      </c>
      <c r="E82" s="30"/>
      <c r="F82" s="24">
        <v>4958.2299999999996</v>
      </c>
      <c r="G82" s="42"/>
      <c r="H82" s="24">
        <f>G82/C82</f>
        <v>0</v>
      </c>
      <c r="I82" s="33"/>
      <c r="J82" s="33"/>
      <c r="K82" s="33"/>
      <c r="L82" s="33"/>
      <c r="M82" s="33"/>
      <c r="N82" s="24"/>
      <c r="O82" s="31"/>
      <c r="P82" s="33"/>
      <c r="Q82" s="24"/>
      <c r="R82" s="21"/>
      <c r="S82" s="21"/>
      <c r="T82" s="21"/>
      <c r="U82" s="21"/>
      <c r="V82" s="70"/>
    </row>
    <row r="83" spans="1:22" ht="63" customHeight="1" x14ac:dyDescent="0.25">
      <c r="A83" s="41" t="s">
        <v>107</v>
      </c>
      <c r="B83" s="21" t="s">
        <v>108</v>
      </c>
      <c r="C83" s="65">
        <f>(D83+E83)</f>
        <v>200</v>
      </c>
      <c r="D83" s="30"/>
      <c r="E83" s="21">
        <v>200</v>
      </c>
      <c r="F83" s="24">
        <v>4327.3599999999997</v>
      </c>
      <c r="G83" s="42"/>
      <c r="H83" s="24"/>
      <c r="I83" s="33"/>
      <c r="J83" s="33"/>
      <c r="K83" s="33"/>
      <c r="L83" s="33"/>
      <c r="M83" s="33"/>
      <c r="N83" s="24"/>
      <c r="O83" s="31"/>
      <c r="P83" s="33"/>
      <c r="Q83" s="24"/>
      <c r="R83" s="21"/>
      <c r="S83" s="21"/>
      <c r="T83" s="21"/>
      <c r="U83" s="21"/>
      <c r="V83" s="70">
        <v>43054</v>
      </c>
    </row>
    <row r="84" spans="1:22" ht="63" customHeight="1" x14ac:dyDescent="0.25">
      <c r="A84" s="41" t="s">
        <v>109</v>
      </c>
      <c r="B84" s="21" t="s">
        <v>108</v>
      </c>
      <c r="C84" s="65">
        <f>(D84+E84)</f>
        <v>100</v>
      </c>
      <c r="D84" s="30"/>
      <c r="E84" s="21">
        <v>100</v>
      </c>
      <c r="F84" s="24">
        <v>1868.31</v>
      </c>
      <c r="G84" s="42"/>
      <c r="H84" s="24"/>
      <c r="I84" s="33"/>
      <c r="J84" s="33"/>
      <c r="K84" s="33"/>
      <c r="L84" s="33"/>
      <c r="M84" s="33"/>
      <c r="N84" s="24"/>
      <c r="O84" s="31"/>
      <c r="P84" s="33"/>
      <c r="Q84" s="24"/>
      <c r="R84" s="21"/>
      <c r="S84" s="21"/>
      <c r="T84" s="21"/>
      <c r="U84" s="21"/>
      <c r="V84" s="70">
        <v>43054</v>
      </c>
    </row>
    <row r="85" spans="1:22" ht="63" customHeight="1" x14ac:dyDescent="0.25">
      <c r="A85" s="79" t="s">
        <v>115</v>
      </c>
      <c r="B85" s="21" t="s">
        <v>114</v>
      </c>
      <c r="C85" s="65">
        <v>10</v>
      </c>
      <c r="D85" s="30"/>
      <c r="E85" s="21"/>
      <c r="F85" s="24"/>
      <c r="G85" s="42"/>
      <c r="H85" s="24"/>
      <c r="I85" s="33"/>
      <c r="J85" s="33"/>
      <c r="K85" s="33"/>
      <c r="L85" s="33"/>
      <c r="M85" s="33"/>
      <c r="N85" s="24"/>
      <c r="O85" s="31"/>
      <c r="P85" s="33"/>
      <c r="Q85" s="24"/>
      <c r="R85" s="21"/>
      <c r="S85" s="21"/>
      <c r="T85" s="21"/>
      <c r="U85" s="21"/>
      <c r="V85" s="70">
        <v>43054</v>
      </c>
    </row>
    <row r="86" spans="1:22" ht="63" customHeight="1" x14ac:dyDescent="0.25">
      <c r="A86" s="79" t="s">
        <v>113</v>
      </c>
      <c r="B86" s="21" t="s">
        <v>114</v>
      </c>
      <c r="C86" s="65">
        <v>26</v>
      </c>
      <c r="D86" s="30"/>
      <c r="E86" s="21"/>
      <c r="F86" s="24"/>
      <c r="G86" s="42"/>
      <c r="H86" s="24"/>
      <c r="I86" s="33"/>
      <c r="J86" s="33"/>
      <c r="K86" s="33"/>
      <c r="L86" s="33"/>
      <c r="M86" s="33"/>
      <c r="N86" s="24"/>
      <c r="O86" s="31"/>
      <c r="P86" s="33"/>
      <c r="Q86" s="24"/>
      <c r="R86" s="21"/>
      <c r="S86" s="21"/>
      <c r="T86" s="21"/>
      <c r="U86" s="21"/>
      <c r="V86" s="70">
        <v>43054</v>
      </c>
    </row>
    <row r="87" spans="1:22" ht="63" customHeight="1" x14ac:dyDescent="0.25">
      <c r="A87" s="79" t="s">
        <v>119</v>
      </c>
      <c r="B87" s="21" t="s">
        <v>114</v>
      </c>
      <c r="C87" s="65">
        <v>31</v>
      </c>
      <c r="D87" s="30"/>
      <c r="E87" s="21"/>
      <c r="F87" s="24"/>
      <c r="G87" s="42"/>
      <c r="H87" s="24"/>
      <c r="I87" s="33"/>
      <c r="J87" s="33"/>
      <c r="K87" s="33"/>
      <c r="L87" s="33"/>
      <c r="M87" s="33"/>
      <c r="N87" s="24"/>
      <c r="O87" s="31"/>
      <c r="P87" s="33"/>
      <c r="Q87" s="24"/>
      <c r="R87" s="21"/>
      <c r="S87" s="21"/>
      <c r="T87" s="21"/>
      <c r="U87" s="21"/>
      <c r="V87" s="70">
        <v>43054</v>
      </c>
    </row>
    <row r="88" spans="1:22" ht="63" customHeight="1" x14ac:dyDescent="0.25">
      <c r="A88" s="79" t="s">
        <v>116</v>
      </c>
      <c r="B88" s="21" t="s">
        <v>114</v>
      </c>
      <c r="C88" s="65">
        <v>6</v>
      </c>
      <c r="D88" s="30"/>
      <c r="E88" s="21"/>
      <c r="F88" s="24"/>
      <c r="G88" s="42"/>
      <c r="H88" s="24"/>
      <c r="I88" s="33"/>
      <c r="J88" s="33"/>
      <c r="K88" s="33"/>
      <c r="L88" s="33"/>
      <c r="M88" s="33"/>
      <c r="N88" s="24"/>
      <c r="O88" s="31"/>
      <c r="P88" s="33"/>
      <c r="Q88" s="24"/>
      <c r="R88" s="21"/>
      <c r="S88" s="21"/>
      <c r="T88" s="21"/>
      <c r="U88" s="21"/>
      <c r="V88" s="70">
        <v>43054</v>
      </c>
    </row>
    <row r="89" spans="1:22" ht="63" customHeight="1" x14ac:dyDescent="0.25">
      <c r="A89" s="79" t="s">
        <v>118</v>
      </c>
      <c r="B89" s="21" t="s">
        <v>114</v>
      </c>
      <c r="C89" s="65">
        <v>45</v>
      </c>
      <c r="D89" s="30"/>
      <c r="E89" s="21"/>
      <c r="F89" s="24"/>
      <c r="G89" s="42"/>
      <c r="H89" s="24"/>
      <c r="I89" s="33"/>
      <c r="J89" s="33"/>
      <c r="K89" s="33"/>
      <c r="L89" s="33"/>
      <c r="M89" s="33"/>
      <c r="N89" s="24"/>
      <c r="O89" s="31"/>
      <c r="P89" s="33"/>
      <c r="Q89" s="24"/>
      <c r="R89" s="21"/>
      <c r="S89" s="21"/>
      <c r="T89" s="21"/>
      <c r="U89" s="21"/>
      <c r="V89" s="70">
        <v>43054</v>
      </c>
    </row>
    <row r="90" spans="1:22" ht="63" customHeight="1" x14ac:dyDescent="0.25">
      <c r="A90" s="79" t="s">
        <v>117</v>
      </c>
      <c r="B90" s="21" t="s">
        <v>114</v>
      </c>
      <c r="C90" s="65">
        <v>74</v>
      </c>
      <c r="D90" s="30"/>
      <c r="E90" s="21"/>
      <c r="F90" s="24"/>
      <c r="G90" s="42"/>
      <c r="H90" s="24"/>
      <c r="I90" s="33"/>
      <c r="J90" s="33"/>
      <c r="K90" s="33"/>
      <c r="L90" s="33"/>
      <c r="M90" s="33"/>
      <c r="N90" s="24"/>
      <c r="O90" s="31"/>
      <c r="P90" s="33"/>
      <c r="Q90" s="24"/>
      <c r="R90" s="21"/>
      <c r="S90" s="21"/>
      <c r="T90" s="21"/>
      <c r="U90" s="21"/>
      <c r="V90" s="70">
        <v>43054</v>
      </c>
    </row>
    <row r="91" spans="1:22" ht="63" hidden="1" customHeight="1" x14ac:dyDescent="0.25">
      <c r="A91" s="41" t="s">
        <v>137</v>
      </c>
      <c r="B91" s="22" t="s">
        <v>3</v>
      </c>
      <c r="C91" s="65">
        <f>D91+E91</f>
        <v>60</v>
      </c>
      <c r="D91" s="30"/>
      <c r="E91" s="21">
        <v>60</v>
      </c>
      <c r="F91" s="24"/>
      <c r="G91" s="42"/>
      <c r="H91" s="24"/>
      <c r="I91" s="33"/>
      <c r="J91" s="33"/>
      <c r="K91" s="33"/>
      <c r="L91" s="33"/>
      <c r="M91" s="33"/>
      <c r="N91" s="24"/>
      <c r="O91" s="31"/>
      <c r="P91" s="33"/>
      <c r="Q91" s="24"/>
      <c r="R91" s="21"/>
      <c r="S91" s="21"/>
      <c r="T91" s="21"/>
      <c r="U91" s="21"/>
      <c r="V91" s="70"/>
    </row>
    <row r="92" spans="1:22" ht="63" hidden="1" customHeight="1" x14ac:dyDescent="0.25">
      <c r="A92" s="41" t="s">
        <v>98</v>
      </c>
      <c r="B92" s="21" t="s">
        <v>3</v>
      </c>
      <c r="C92" s="65">
        <f>(D92+E92)</f>
        <v>29</v>
      </c>
      <c r="D92" s="30"/>
      <c r="E92" s="21">
        <v>29</v>
      </c>
      <c r="F92" s="24">
        <v>2492.9699999999998</v>
      </c>
      <c r="G92" s="42"/>
      <c r="H92" s="24"/>
      <c r="I92" s="33"/>
      <c r="J92" s="33"/>
      <c r="K92" s="33"/>
      <c r="L92" s="33"/>
      <c r="M92" s="33"/>
      <c r="N92" s="24"/>
      <c r="O92" s="31"/>
      <c r="P92" s="33"/>
      <c r="Q92" s="24"/>
      <c r="R92" s="21"/>
      <c r="S92" s="21"/>
      <c r="T92" s="21"/>
      <c r="U92" s="21"/>
      <c r="V92" s="70"/>
    </row>
    <row r="93" spans="1:22" ht="63" hidden="1" customHeight="1" x14ac:dyDescent="0.25">
      <c r="A93" s="41" t="s">
        <v>112</v>
      </c>
      <c r="B93" s="22" t="s">
        <v>3</v>
      </c>
      <c r="C93" s="65">
        <f>D93+E93</f>
        <v>22</v>
      </c>
      <c r="D93" s="30"/>
      <c r="E93" s="21">
        <v>22</v>
      </c>
      <c r="F93" s="25"/>
      <c r="G93" s="78"/>
      <c r="H93" s="24"/>
      <c r="I93" s="27"/>
      <c r="J93" s="27"/>
      <c r="K93" s="27"/>
      <c r="L93" s="27"/>
      <c r="M93" s="27"/>
      <c r="N93" s="25"/>
      <c r="O93" s="32"/>
      <c r="P93" s="34"/>
      <c r="Q93" s="25"/>
      <c r="R93" s="22"/>
      <c r="S93" s="22"/>
      <c r="T93" s="22"/>
      <c r="U93" s="22"/>
      <c r="V93" s="70"/>
    </row>
    <row r="94" spans="1:22" ht="63" hidden="1" customHeight="1" x14ac:dyDescent="0.25">
      <c r="A94" s="41" t="s">
        <v>140</v>
      </c>
      <c r="B94" s="22" t="s">
        <v>3</v>
      </c>
      <c r="C94" s="65">
        <f>D94+E94</f>
        <v>15</v>
      </c>
      <c r="D94" s="30"/>
      <c r="E94" s="21">
        <v>15</v>
      </c>
      <c r="F94" s="25"/>
      <c r="G94" s="78"/>
      <c r="H94" s="24"/>
      <c r="I94" s="27"/>
      <c r="J94" s="27"/>
      <c r="K94" s="27"/>
      <c r="L94" s="27"/>
      <c r="M94" s="27"/>
      <c r="N94" s="25"/>
      <c r="O94" s="32"/>
      <c r="P94" s="34"/>
      <c r="Q94" s="25"/>
      <c r="R94" s="22"/>
      <c r="S94" s="22"/>
      <c r="T94" s="22"/>
      <c r="U94" s="22"/>
      <c r="V94" s="70"/>
    </row>
    <row r="95" spans="1:22" ht="63" hidden="1" customHeight="1" x14ac:dyDescent="0.25">
      <c r="A95" s="79" t="s">
        <v>123</v>
      </c>
      <c r="B95" s="21" t="s">
        <v>114</v>
      </c>
      <c r="C95" s="65">
        <v>128</v>
      </c>
      <c r="D95" s="30"/>
      <c r="E95" s="21"/>
      <c r="F95" s="24"/>
      <c r="G95" s="42"/>
      <c r="H95" s="24"/>
      <c r="I95" s="33"/>
      <c r="J95" s="33"/>
      <c r="K95" s="33"/>
      <c r="L95" s="33"/>
      <c r="M95" s="33"/>
      <c r="N95" s="24"/>
      <c r="O95" s="31"/>
      <c r="P95" s="33"/>
      <c r="Q95" s="24"/>
      <c r="R95" s="21"/>
      <c r="S95" s="21"/>
      <c r="T95" s="21"/>
      <c r="U95" s="21"/>
      <c r="V95" s="70"/>
    </row>
    <row r="96" spans="1:22" ht="63" hidden="1" customHeight="1" x14ac:dyDescent="0.25">
      <c r="A96" s="43" t="s">
        <v>138</v>
      </c>
      <c r="B96" s="21" t="s">
        <v>3</v>
      </c>
      <c r="C96" s="65">
        <f>(D96+E96)</f>
        <v>70</v>
      </c>
      <c r="D96" s="30"/>
      <c r="E96" s="21">
        <v>70</v>
      </c>
      <c r="F96" s="24"/>
      <c r="G96" s="44"/>
      <c r="H96" s="24"/>
      <c r="I96" s="26"/>
      <c r="J96" s="26"/>
      <c r="K96" s="26"/>
      <c r="L96" s="26"/>
      <c r="M96" s="26"/>
      <c r="N96" s="24"/>
      <c r="O96" s="31"/>
      <c r="P96" s="33"/>
      <c r="Q96" s="24"/>
      <c r="R96" s="21"/>
      <c r="S96" s="21"/>
      <c r="T96" s="21"/>
      <c r="U96" s="21"/>
      <c r="V96" s="68"/>
    </row>
    <row r="97" spans="1:22" ht="63" hidden="1" customHeight="1" x14ac:dyDescent="0.25">
      <c r="A97" s="79" t="s">
        <v>121</v>
      </c>
      <c r="B97" s="21" t="s">
        <v>114</v>
      </c>
      <c r="C97" s="85">
        <v>23</v>
      </c>
      <c r="D97" s="30"/>
      <c r="E97" s="21"/>
      <c r="F97" s="24"/>
      <c r="G97" s="42"/>
      <c r="H97" s="24"/>
      <c r="I97" s="33"/>
      <c r="J97" s="33"/>
      <c r="K97" s="33"/>
      <c r="L97" s="33"/>
      <c r="M97" s="33"/>
      <c r="N97" s="24"/>
      <c r="O97" s="31"/>
      <c r="P97" s="33"/>
      <c r="Q97" s="24"/>
      <c r="R97" s="21"/>
      <c r="S97" s="21"/>
      <c r="T97" s="21"/>
      <c r="U97" s="21"/>
      <c r="V97" s="70"/>
    </row>
    <row r="98" spans="1:22" ht="63" hidden="1" customHeight="1" x14ac:dyDescent="0.25">
      <c r="A98" s="79" t="s">
        <v>120</v>
      </c>
      <c r="B98" s="21" t="s">
        <v>114</v>
      </c>
      <c r="C98" s="85">
        <v>30</v>
      </c>
      <c r="D98" s="30"/>
      <c r="E98" s="21"/>
      <c r="F98" s="24"/>
      <c r="G98" s="42"/>
      <c r="H98" s="24"/>
      <c r="I98" s="33"/>
      <c r="J98" s="33"/>
      <c r="K98" s="33"/>
      <c r="L98" s="33"/>
      <c r="M98" s="33"/>
      <c r="N98" s="24"/>
      <c r="O98" s="31"/>
      <c r="P98" s="33"/>
      <c r="Q98" s="24"/>
      <c r="R98" s="21"/>
      <c r="S98" s="21"/>
      <c r="T98" s="21"/>
      <c r="U98" s="21"/>
      <c r="V98" s="70"/>
    </row>
    <row r="99" spans="1:22" ht="63" hidden="1" customHeight="1" x14ac:dyDescent="0.25">
      <c r="A99" s="79" t="s">
        <v>122</v>
      </c>
      <c r="B99" s="21" t="s">
        <v>114</v>
      </c>
      <c r="C99" s="85">
        <v>34</v>
      </c>
      <c r="D99" s="30"/>
      <c r="E99" s="21"/>
      <c r="F99" s="24"/>
      <c r="G99" s="42"/>
      <c r="H99" s="24"/>
      <c r="I99" s="33"/>
      <c r="J99" s="33"/>
      <c r="K99" s="33"/>
      <c r="L99" s="33"/>
      <c r="M99" s="33"/>
      <c r="N99" s="24"/>
      <c r="O99" s="31"/>
      <c r="P99" s="33"/>
      <c r="Q99" s="24"/>
      <c r="R99" s="21"/>
      <c r="S99" s="21"/>
      <c r="T99" s="21"/>
      <c r="U99" s="21"/>
      <c r="V99" s="70"/>
    </row>
    <row r="100" spans="1:22" ht="63" hidden="1" customHeight="1" x14ac:dyDescent="0.25">
      <c r="A100" s="41" t="s">
        <v>142</v>
      </c>
      <c r="B100" s="21" t="s">
        <v>3</v>
      </c>
      <c r="C100" s="85">
        <f>(D100+E100)</f>
        <v>43</v>
      </c>
      <c r="D100" s="30"/>
      <c r="E100" s="21">
        <v>43</v>
      </c>
      <c r="F100" s="24"/>
      <c r="G100" s="42"/>
      <c r="H100" s="24"/>
      <c r="I100" s="33"/>
      <c r="J100" s="33"/>
      <c r="K100" s="33"/>
      <c r="L100" s="33"/>
      <c r="M100" s="33"/>
      <c r="N100" s="24"/>
      <c r="O100" s="31"/>
      <c r="P100" s="33"/>
      <c r="Q100" s="24"/>
      <c r="R100" s="21"/>
      <c r="S100" s="21"/>
      <c r="T100" s="21"/>
      <c r="U100" s="21"/>
      <c r="V100" s="70"/>
    </row>
    <row r="101" spans="1:22" ht="63" hidden="1" customHeight="1" x14ac:dyDescent="0.25">
      <c r="A101" s="41" t="s">
        <v>136</v>
      </c>
      <c r="B101" s="22" t="s">
        <v>2</v>
      </c>
      <c r="C101" s="85">
        <f>(D101+E101)</f>
        <v>23</v>
      </c>
      <c r="D101" s="30"/>
      <c r="E101" s="21">
        <v>23</v>
      </c>
      <c r="F101" s="24"/>
      <c r="G101" s="42"/>
      <c r="H101" s="24"/>
      <c r="I101" s="33"/>
      <c r="J101" s="33"/>
      <c r="K101" s="33"/>
      <c r="L101" s="33"/>
      <c r="M101" s="33"/>
      <c r="N101" s="24"/>
      <c r="O101" s="31"/>
      <c r="P101" s="33"/>
      <c r="Q101" s="24"/>
      <c r="R101" s="21"/>
      <c r="S101" s="21"/>
      <c r="T101" s="21"/>
      <c r="U101" s="21"/>
      <c r="V101" s="70"/>
    </row>
    <row r="102" spans="1:22" ht="48.2" hidden="1" customHeight="1" x14ac:dyDescent="0.25">
      <c r="A102" s="41" t="s">
        <v>135</v>
      </c>
      <c r="B102" s="22" t="s">
        <v>3</v>
      </c>
      <c r="C102" s="85">
        <f>(D102+E102)</f>
        <v>40</v>
      </c>
      <c r="D102" s="30"/>
      <c r="E102" s="21">
        <v>40</v>
      </c>
      <c r="F102" s="24"/>
      <c r="G102" s="67"/>
      <c r="H102" s="24"/>
      <c r="I102" s="33"/>
      <c r="J102" s="33"/>
      <c r="K102" s="33"/>
      <c r="L102" s="33"/>
      <c r="M102" s="33"/>
      <c r="N102" s="24"/>
      <c r="O102" s="31"/>
      <c r="P102" s="33"/>
      <c r="Q102" s="24"/>
      <c r="R102" s="21"/>
      <c r="S102" s="21"/>
      <c r="T102" s="21"/>
      <c r="U102" s="21"/>
      <c r="V102" s="70"/>
    </row>
    <row r="103" spans="1:22" ht="39.950000000000003" hidden="1" customHeight="1" x14ac:dyDescent="0.25">
      <c r="A103" s="43" t="s">
        <v>133</v>
      </c>
      <c r="B103" s="21" t="s">
        <v>3</v>
      </c>
      <c r="C103" s="85">
        <f>(D103+E103)</f>
        <v>38</v>
      </c>
      <c r="D103" s="30"/>
      <c r="E103" s="21">
        <v>38</v>
      </c>
      <c r="F103" s="24"/>
      <c r="G103" s="42"/>
      <c r="H103" s="24"/>
      <c r="I103" s="33"/>
      <c r="J103" s="33"/>
      <c r="K103" s="33"/>
      <c r="L103" s="33"/>
      <c r="M103" s="33"/>
      <c r="N103" s="24"/>
      <c r="O103" s="31"/>
      <c r="P103" s="33"/>
      <c r="Q103" s="24"/>
      <c r="R103" s="21"/>
      <c r="S103" s="21"/>
      <c r="T103" s="21"/>
      <c r="U103" s="21"/>
      <c r="V103" s="70"/>
    </row>
    <row r="104" spans="1:22" ht="27.95" hidden="1" customHeight="1" x14ac:dyDescent="0.25">
      <c r="A104" s="41" t="s">
        <v>141</v>
      </c>
      <c r="B104" s="22" t="s">
        <v>3</v>
      </c>
      <c r="C104" s="65">
        <f>D104+E104</f>
        <v>15</v>
      </c>
      <c r="D104" s="30"/>
      <c r="E104" s="21">
        <v>15</v>
      </c>
      <c r="F104" s="25"/>
      <c r="G104" s="37"/>
      <c r="H104" s="24"/>
      <c r="I104" s="27"/>
      <c r="J104" s="27"/>
      <c r="K104" s="27"/>
      <c r="L104" s="27"/>
      <c r="M104" s="27"/>
      <c r="N104" s="25"/>
      <c r="O104" s="32"/>
      <c r="P104" s="34"/>
      <c r="Q104" s="25"/>
      <c r="R104" s="22"/>
      <c r="S104" s="22"/>
      <c r="T104" s="22"/>
      <c r="U104" s="22"/>
      <c r="V104" s="70"/>
    </row>
    <row r="105" spans="1:22" ht="39.950000000000003" hidden="1" customHeight="1" x14ac:dyDescent="0.25">
      <c r="A105" s="41" t="s">
        <v>100</v>
      </c>
      <c r="B105" s="21" t="s">
        <v>3</v>
      </c>
      <c r="C105" s="65">
        <f>(D105+E105)</f>
        <v>0</v>
      </c>
      <c r="D105" s="30"/>
      <c r="E105" s="21"/>
      <c r="F105" s="24"/>
      <c r="G105" s="42"/>
      <c r="H105" s="24"/>
      <c r="I105" s="33"/>
      <c r="J105" s="33"/>
      <c r="K105" s="33"/>
      <c r="L105" s="33"/>
      <c r="M105" s="33"/>
      <c r="N105" s="24"/>
      <c r="O105" s="31"/>
      <c r="P105" s="33"/>
      <c r="Q105" s="24"/>
      <c r="R105" s="21"/>
      <c r="S105" s="21"/>
      <c r="T105" s="21"/>
      <c r="U105" s="21"/>
      <c r="V105" s="70"/>
    </row>
    <row r="106" spans="1:22" ht="39.950000000000003" hidden="1" customHeight="1" x14ac:dyDescent="0.25">
      <c r="A106" s="79" t="s">
        <v>125</v>
      </c>
      <c r="B106" s="21" t="s">
        <v>114</v>
      </c>
      <c r="C106" s="65">
        <v>16</v>
      </c>
      <c r="D106" s="30"/>
      <c r="E106" s="21"/>
      <c r="F106" s="24"/>
      <c r="G106" s="42"/>
      <c r="H106" s="24"/>
      <c r="I106" s="33"/>
      <c r="J106" s="33"/>
      <c r="K106" s="33"/>
      <c r="L106" s="33"/>
      <c r="M106" s="33"/>
      <c r="N106" s="24"/>
      <c r="O106" s="31"/>
      <c r="P106" s="33"/>
      <c r="Q106" s="24"/>
      <c r="R106" s="21"/>
      <c r="S106" s="21"/>
      <c r="T106" s="21"/>
      <c r="U106" s="21"/>
      <c r="V106" s="70"/>
    </row>
    <row r="107" spans="1:22" ht="39.950000000000003" hidden="1" customHeight="1" x14ac:dyDescent="0.25">
      <c r="A107" s="43" t="s">
        <v>111</v>
      </c>
      <c r="B107" s="21" t="s">
        <v>3</v>
      </c>
      <c r="C107" s="65">
        <f>(D107+E107)</f>
        <v>37</v>
      </c>
      <c r="D107" s="30"/>
      <c r="E107" s="21">
        <v>37</v>
      </c>
      <c r="F107" s="24"/>
      <c r="G107" s="44"/>
      <c r="H107" s="24"/>
      <c r="I107" s="26"/>
      <c r="J107" s="26"/>
      <c r="K107" s="26"/>
      <c r="L107" s="26"/>
      <c r="M107" s="26"/>
      <c r="N107" s="24"/>
      <c r="O107" s="31"/>
      <c r="P107" s="33"/>
      <c r="Q107" s="24"/>
      <c r="R107" s="21"/>
      <c r="S107" s="21"/>
      <c r="T107" s="21"/>
      <c r="U107" s="21"/>
      <c r="V107" s="68"/>
    </row>
    <row r="108" spans="1:22" ht="39.950000000000003" hidden="1" customHeight="1" x14ac:dyDescent="0.25">
      <c r="A108" s="79" t="s">
        <v>124</v>
      </c>
      <c r="B108" s="21" t="s">
        <v>114</v>
      </c>
      <c r="C108" s="65">
        <v>38</v>
      </c>
      <c r="D108" s="30"/>
      <c r="E108" s="21"/>
      <c r="F108" s="24"/>
      <c r="G108" s="42"/>
      <c r="H108" s="24"/>
      <c r="I108" s="33"/>
      <c r="J108" s="33"/>
      <c r="K108" s="33"/>
      <c r="L108" s="33"/>
      <c r="M108" s="33"/>
      <c r="N108" s="24"/>
      <c r="O108" s="31"/>
      <c r="P108" s="33"/>
      <c r="Q108" s="24"/>
      <c r="R108" s="21"/>
      <c r="S108" s="21"/>
      <c r="T108" s="21"/>
      <c r="U108" s="21"/>
      <c r="V108" s="70"/>
    </row>
    <row r="109" spans="1:22" ht="39.950000000000003" hidden="1" customHeight="1" x14ac:dyDescent="0.25">
      <c r="A109" s="79" t="s">
        <v>126</v>
      </c>
      <c r="B109" s="21" t="s">
        <v>114</v>
      </c>
      <c r="C109" s="65">
        <v>30</v>
      </c>
      <c r="D109" s="30"/>
      <c r="E109" s="21"/>
      <c r="F109" s="24"/>
      <c r="G109" s="42"/>
      <c r="H109" s="24"/>
      <c r="I109" s="33"/>
      <c r="J109" s="33"/>
      <c r="K109" s="33"/>
      <c r="L109" s="33"/>
      <c r="M109" s="33"/>
      <c r="N109" s="24"/>
      <c r="O109" s="31"/>
      <c r="P109" s="33"/>
      <c r="Q109" s="24"/>
      <c r="R109" s="21"/>
      <c r="S109" s="21"/>
      <c r="T109" s="21"/>
      <c r="U109" s="21"/>
      <c r="V109" s="70"/>
    </row>
    <row r="110" spans="1:22" ht="39.950000000000003" hidden="1" customHeight="1" x14ac:dyDescent="0.25">
      <c r="A110" s="79" t="s">
        <v>127</v>
      </c>
      <c r="B110" s="21" t="s">
        <v>114</v>
      </c>
      <c r="C110" s="65">
        <v>32</v>
      </c>
      <c r="D110" s="30"/>
      <c r="E110" s="21"/>
      <c r="F110" s="24"/>
      <c r="G110" s="42"/>
      <c r="H110" s="24"/>
      <c r="I110" s="33"/>
      <c r="J110" s="33"/>
      <c r="K110" s="33"/>
      <c r="L110" s="33"/>
      <c r="M110" s="33"/>
      <c r="N110" s="24"/>
      <c r="O110" s="31"/>
      <c r="P110" s="33"/>
      <c r="Q110" s="24"/>
      <c r="R110" s="21"/>
      <c r="S110" s="21"/>
      <c r="T110" s="21"/>
      <c r="U110" s="21"/>
      <c r="V110" s="70"/>
    </row>
    <row r="111" spans="1:22" ht="54" hidden="1" customHeight="1" x14ac:dyDescent="0.25">
      <c r="A111" s="79" t="s">
        <v>130</v>
      </c>
      <c r="B111" s="21" t="s">
        <v>114</v>
      </c>
      <c r="C111" s="65">
        <v>18</v>
      </c>
      <c r="D111" s="30"/>
      <c r="E111" s="21"/>
      <c r="F111" s="24"/>
      <c r="G111" s="42"/>
      <c r="H111" s="24"/>
      <c r="I111" s="33"/>
      <c r="J111" s="33"/>
      <c r="K111" s="33"/>
      <c r="L111" s="33"/>
      <c r="M111" s="33"/>
      <c r="N111" s="24"/>
      <c r="O111" s="31"/>
      <c r="P111" s="33"/>
      <c r="Q111" s="24"/>
      <c r="R111" s="21"/>
      <c r="S111" s="21"/>
      <c r="T111" s="21"/>
      <c r="U111" s="21"/>
      <c r="V111" s="70"/>
    </row>
    <row r="112" spans="1:22" ht="39.950000000000003" hidden="1" customHeight="1" x14ac:dyDescent="0.25">
      <c r="A112" s="79" t="s">
        <v>129</v>
      </c>
      <c r="B112" s="21" t="s">
        <v>114</v>
      </c>
      <c r="C112" s="65">
        <v>26</v>
      </c>
      <c r="D112" s="30"/>
      <c r="E112" s="21"/>
      <c r="F112" s="24"/>
      <c r="G112" s="42"/>
      <c r="H112" s="24"/>
      <c r="I112" s="33"/>
      <c r="J112" s="33"/>
      <c r="K112" s="33"/>
      <c r="L112" s="33"/>
      <c r="M112" s="33"/>
      <c r="N112" s="24"/>
      <c r="O112" s="31"/>
      <c r="P112" s="33"/>
      <c r="Q112" s="24"/>
      <c r="R112" s="21"/>
      <c r="S112" s="21"/>
      <c r="T112" s="21"/>
      <c r="U112" s="21"/>
      <c r="V112" s="70"/>
    </row>
    <row r="113" spans="1:22" ht="39.950000000000003" hidden="1" customHeight="1" x14ac:dyDescent="0.25">
      <c r="A113" s="79" t="s">
        <v>128</v>
      </c>
      <c r="B113" s="21" t="s">
        <v>114</v>
      </c>
      <c r="C113" s="65">
        <v>83</v>
      </c>
      <c r="D113" s="30"/>
      <c r="E113" s="21"/>
      <c r="F113" s="24"/>
      <c r="G113" s="42"/>
      <c r="H113" s="24"/>
      <c r="I113" s="33"/>
      <c r="J113" s="33"/>
      <c r="K113" s="33"/>
      <c r="L113" s="33"/>
      <c r="M113" s="33"/>
      <c r="N113" s="24"/>
      <c r="O113" s="31"/>
      <c r="P113" s="33"/>
      <c r="Q113" s="24"/>
      <c r="R113" s="21"/>
      <c r="S113" s="21"/>
      <c r="T113" s="21"/>
      <c r="U113" s="21"/>
      <c r="V113" s="70"/>
    </row>
    <row r="114" spans="1:22" ht="39.950000000000003" hidden="1" customHeight="1" x14ac:dyDescent="0.25">
      <c r="A114" s="41" t="s">
        <v>143</v>
      </c>
      <c r="B114" s="22"/>
      <c r="C114" s="65"/>
      <c r="D114" s="30"/>
      <c r="E114" s="21"/>
      <c r="F114" s="24"/>
      <c r="G114" s="42"/>
      <c r="H114" s="24"/>
      <c r="I114" s="33"/>
      <c r="J114" s="33"/>
      <c r="K114" s="33"/>
      <c r="L114" s="33"/>
      <c r="M114" s="33"/>
      <c r="N114" s="24"/>
      <c r="O114" s="31"/>
      <c r="P114" s="33"/>
      <c r="Q114" s="24"/>
      <c r="R114" s="21"/>
      <c r="S114" s="21"/>
      <c r="T114" s="21"/>
      <c r="U114" s="21"/>
      <c r="V114" s="70"/>
    </row>
    <row r="115" spans="1:22" ht="39.950000000000003" hidden="1" customHeight="1" x14ac:dyDescent="0.25">
      <c r="A115" s="41" t="s">
        <v>131</v>
      </c>
      <c r="B115" s="21" t="s">
        <v>2</v>
      </c>
      <c r="C115" s="85">
        <f>(D115+E115)</f>
        <v>31</v>
      </c>
      <c r="D115" s="21">
        <v>31</v>
      </c>
      <c r="E115" s="30"/>
      <c r="F115" s="24"/>
      <c r="G115" s="42"/>
      <c r="H115" s="24"/>
      <c r="I115" s="33"/>
      <c r="J115" s="33"/>
      <c r="K115" s="33"/>
      <c r="L115" s="33"/>
      <c r="M115" s="33"/>
      <c r="N115" s="24"/>
      <c r="O115" s="31"/>
      <c r="P115" s="33"/>
      <c r="Q115" s="24"/>
      <c r="R115" s="21"/>
      <c r="S115" s="21"/>
      <c r="T115" s="21"/>
      <c r="U115" s="21"/>
      <c r="V115" s="70"/>
    </row>
    <row r="116" spans="1:22" s="1" customFormat="1" ht="20.100000000000001" hidden="1" customHeight="1" x14ac:dyDescent="0.25">
      <c r="A116" s="81"/>
      <c r="B116" s="52"/>
      <c r="C116" s="98">
        <f>SUM(C2:C115)</f>
        <v>3883</v>
      </c>
      <c r="D116" s="8">
        <f>SUM(D2:D115)</f>
        <v>645</v>
      </c>
      <c r="E116" s="8">
        <f>SUM(E2:E115)</f>
        <v>2636</v>
      </c>
      <c r="F116" s="52"/>
      <c r="G116" s="52"/>
      <c r="H116" s="52"/>
      <c r="I116" s="52"/>
      <c r="J116" s="52"/>
      <c r="K116" s="52"/>
      <c r="L116" s="52"/>
      <c r="M116" s="52"/>
      <c r="N116" s="52"/>
      <c r="O116" s="53"/>
      <c r="P116" s="35"/>
      <c r="Q116" s="52"/>
      <c r="R116" s="52"/>
      <c r="S116" s="52"/>
      <c r="T116" s="52"/>
      <c r="U116" s="52"/>
      <c r="V116" s="52"/>
    </row>
    <row r="117" spans="1:22" s="1" customFormat="1" ht="14.25" hidden="1" customHeight="1" x14ac:dyDescent="0.25">
      <c r="A117" s="81"/>
      <c r="B117" s="54"/>
      <c r="C117" s="54"/>
      <c r="D117" s="54"/>
      <c r="E117" s="62"/>
      <c r="F117" s="54"/>
      <c r="G117" s="54"/>
      <c r="H117" s="54"/>
      <c r="I117" s="54"/>
      <c r="J117" s="54"/>
      <c r="K117" s="54"/>
      <c r="L117" s="54"/>
      <c r="M117" s="54"/>
      <c r="N117" s="54"/>
      <c r="O117" s="55"/>
      <c r="P117" s="45"/>
      <c r="Q117" s="54"/>
      <c r="R117" s="54"/>
      <c r="S117" s="54"/>
      <c r="T117" s="54"/>
      <c r="U117" s="54"/>
      <c r="V117" s="54"/>
    </row>
    <row r="118" spans="1:22" s="1" customFormat="1" ht="15.6" hidden="1" customHeight="1" x14ac:dyDescent="0.25">
      <c r="A118" s="82"/>
      <c r="E118" s="62"/>
      <c r="G118" s="72"/>
      <c r="I118" s="56"/>
      <c r="J118" s="56"/>
      <c r="K118" s="56"/>
      <c r="L118" s="56"/>
      <c r="M118" s="56"/>
      <c r="O118" s="57"/>
      <c r="P118" s="18"/>
      <c r="S118" s="6"/>
    </row>
    <row r="119" spans="1:22" ht="15.75" thickBot="1" x14ac:dyDescent="0.3"/>
    <row r="120" spans="1:22" ht="15.75" thickBot="1" x14ac:dyDescent="0.3">
      <c r="C120" s="13">
        <f>SUBTOTAL(9,C2:C115)</f>
        <v>1023</v>
      </c>
      <c r="D120" s="14">
        <f>SUBTOTAL(9,D2:D115)</f>
        <v>126</v>
      </c>
      <c r="E120" s="14">
        <f>SUBTOTAL(9,E2:E115)</f>
        <v>705</v>
      </c>
      <c r="F120" s="19">
        <f>SUBTOTAL(9,F24:F115)</f>
        <v>44309.324999999997</v>
      </c>
      <c r="G120" s="19">
        <f>SUBTOTAL(9,G24:G115)</f>
        <v>39509.9</v>
      </c>
      <c r="H120" s="39">
        <f>G120/C120</f>
        <v>38.621603128054744</v>
      </c>
    </row>
    <row r="121" spans="1:22" x14ac:dyDescent="0.25">
      <c r="D121" s="15">
        <f>D120/$C$120</f>
        <v>0.12316715542521994</v>
      </c>
      <c r="E121" s="15">
        <f>E120/$C$120</f>
        <v>0.68914956011730211</v>
      </c>
    </row>
  </sheetData>
  <autoFilter ref="A1:V118">
    <filterColumn colId="21">
      <filters>
        <dateGroupItem year="2017" dateTimeGrouping="year"/>
      </filters>
    </filterColumn>
  </autoFilter>
  <sortState ref="A39:A44">
    <sortCondition ref="A39"/>
  </sortState>
  <dataConsolidate/>
  <dataValidations count="3">
    <dataValidation type="list" allowBlank="1" showInputMessage="1" showErrorMessage="1" sqref="U2:U115">
      <formula1>"oui,non"</formula1>
    </dataValidation>
    <dataValidation type="list" allowBlank="1" showInputMessage="1" showErrorMessage="1" sqref="B2:B115">
      <formula1>"LLS,LLTS,PLS,Rehab"</formula1>
    </dataValidation>
    <dataValidation type="list" allowBlank="1" showInputMessage="1" showErrorMessage="1" sqref="V116">
      <formula1>"FHO,FMA,JDC,JFO,LIM,SFE,YFR"</formula1>
    </dataValidation>
  </dataValidations>
  <pageMargins left="0.23622047244094491" right="0.23622047244094491" top="0.74803149606299213" bottom="0.74803149606299213" header="0.31496062992125984" footer="0.31496062992125984"/>
  <pageSetup paperSize="9" scale="2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SYNTHESE</vt:lpstr>
      <vt:lpstr>Données initiales</vt:lpstr>
      <vt:lpstr>'Données initiales'!Impression_des_titres</vt:lpstr>
      <vt:lpstr>LLS</vt:lpstr>
      <vt:lpstr>LLTS</vt:lpstr>
      <vt:lpstr>Nlgts</vt:lpstr>
      <vt:lpstr>OS</vt:lpstr>
      <vt:lpstr>Type</vt:lpstr>
      <vt:lpstr>'Données initiales'!Zone_d_impression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2017-02-24T10:13:41Z</cp:lastPrinted>
  <dcterms:created xsi:type="dcterms:W3CDTF">2012-11-19T18:43:46Z</dcterms:created>
  <dcterms:modified xsi:type="dcterms:W3CDTF">2017-03-02T09:13:45Z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